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.sharepoint.com/sites/PR-Covid-19IndustryResponseTeam/Shared Documents/Digital Web and Social/Digital Web and Social 2021/25. Financial Planning (New July 2021)/3. Business Planning/3. Business Planning/B&amp;B Hostel CC SC/"/>
    </mc:Choice>
  </mc:AlternateContent>
  <xr:revisionPtr revIDLastSave="36" documentId="8_{DA844421-94FF-459D-83AE-2C2B973A0093}" xr6:coauthVersionLast="47" xr6:coauthVersionMax="47" xr10:uidLastSave="{6896D117-5EA0-4911-864F-1361AA973C1B}"/>
  <bookViews>
    <workbookView xWindow="-120" yWindow="-120" windowWidth="25440" windowHeight="15390" tabRatio="841" xr2:uid="{9173BA8B-8E2D-49B2-AAF5-17B29C2C2451}"/>
  </bookViews>
  <sheets>
    <sheet name="Instructions" sheetId="8" r:id="rId1"/>
    <sheet name="Historic P&amp;L" sheetId="3" r:id="rId2"/>
    <sheet name="P&amp;L Projections" sheetId="9" r:id="rId3"/>
    <sheet name="Balance Sheet" sheetId="10" r:id="rId4"/>
    <sheet name="Cashflow Analysis" sheetId="11" r:id="rId5"/>
  </sheets>
  <definedNames>
    <definedName name="_xlnm.Print_Area" localSheetId="3">'Balance Sheet'!$B$4:$G$33</definedName>
    <definedName name="_xlnm.Print_Area" localSheetId="4">'Cashflow Analysis'!$B$6:$G$22</definedName>
    <definedName name="_xlnm.Print_Area" localSheetId="1">'Historic P&amp;L'!$B$4:$E$66</definedName>
    <definedName name="_xlnm.Print_Area" localSheetId="0">Instructions!$B$2:$L$30</definedName>
    <definedName name="_xlnm.Print_Area" localSheetId="2">'P&amp;L Projections'!$J$9:$S$70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5" i="9" l="1"/>
  <c r="P55" i="9"/>
  <c r="Q55" i="9"/>
  <c r="R55" i="9"/>
  <c r="O55" i="9"/>
  <c r="D15" i="11"/>
  <c r="E15" i="11"/>
  <c r="F15" i="11"/>
  <c r="G15" i="11"/>
  <c r="C15" i="11"/>
  <c r="P27" i="9"/>
  <c r="Q27" i="9"/>
  <c r="R27" i="9"/>
  <c r="S27" i="9"/>
  <c r="O27" i="9"/>
  <c r="L67" i="9"/>
  <c r="M67" i="9"/>
  <c r="K67" i="9"/>
  <c r="E75" i="9"/>
  <c r="E78" i="9" s="1"/>
  <c r="P26" i="9" s="1"/>
  <c r="F75" i="9"/>
  <c r="F78" i="9" s="1"/>
  <c r="Q26" i="9" s="1"/>
  <c r="G75" i="9"/>
  <c r="G78" i="9" s="1"/>
  <c r="R26" i="9" s="1"/>
  <c r="H75" i="9"/>
  <c r="H78" i="9" s="1"/>
  <c r="S26" i="9" s="1"/>
  <c r="D75" i="9"/>
  <c r="D78" i="9" s="1"/>
  <c r="O26" i="9" s="1"/>
  <c r="P19" i="9"/>
  <c r="Q19" i="9"/>
  <c r="R19" i="9"/>
  <c r="S19" i="9"/>
  <c r="P20" i="9"/>
  <c r="Q20" i="9"/>
  <c r="R20" i="9"/>
  <c r="S20" i="9"/>
  <c r="O20" i="9"/>
  <c r="O19" i="9"/>
  <c r="L19" i="9"/>
  <c r="M19" i="9"/>
  <c r="L20" i="9"/>
  <c r="M20" i="9"/>
  <c r="K20" i="9"/>
  <c r="K19" i="9"/>
  <c r="E20" i="3"/>
  <c r="M24" i="9" s="1"/>
  <c r="D20" i="3"/>
  <c r="L24" i="9" s="1"/>
  <c r="C20" i="3"/>
  <c r="K24" i="9" s="1"/>
  <c r="E17" i="9"/>
  <c r="P17" i="9" s="1"/>
  <c r="F17" i="9"/>
  <c r="F18" i="9" s="1"/>
  <c r="F24" i="9" s="1"/>
  <c r="Q24" i="9" s="1"/>
  <c r="G17" i="9"/>
  <c r="G18" i="9" s="1"/>
  <c r="G24" i="9" s="1"/>
  <c r="R24" i="9" s="1"/>
  <c r="H17" i="9"/>
  <c r="H18" i="9" s="1"/>
  <c r="H24" i="9" s="1"/>
  <c r="S24" i="9" s="1"/>
  <c r="D17" i="9"/>
  <c r="D18" i="9" s="1"/>
  <c r="D63" i="3"/>
  <c r="D32" i="3"/>
  <c r="E32" i="3"/>
  <c r="D33" i="3"/>
  <c r="E33" i="3"/>
  <c r="D34" i="3"/>
  <c r="E34" i="3"/>
  <c r="D35" i="3"/>
  <c r="E35" i="3"/>
  <c r="C35" i="3"/>
  <c r="D29" i="3"/>
  <c r="E29" i="3"/>
  <c r="D30" i="3"/>
  <c r="E30" i="3"/>
  <c r="E63" i="3" s="1"/>
  <c r="D31" i="3"/>
  <c r="E31" i="3"/>
  <c r="C32" i="3"/>
  <c r="C31" i="3"/>
  <c r="C30" i="3"/>
  <c r="C63" i="3" s="1"/>
  <c r="C29" i="3"/>
  <c r="R17" i="9" l="1"/>
  <c r="Q17" i="9"/>
  <c r="E18" i="9"/>
  <c r="E24" i="9" s="1"/>
  <c r="P24" i="9" s="1"/>
  <c r="S17" i="9"/>
  <c r="D24" i="9"/>
  <c r="O24" i="9" s="1"/>
  <c r="O18" i="9"/>
  <c r="S18" i="9"/>
  <c r="O17" i="9"/>
  <c r="R18" i="9"/>
  <c r="Q18" i="9"/>
  <c r="P18" i="9" l="1"/>
  <c r="C5" i="11" l="1"/>
  <c r="C7" i="11" s="1"/>
  <c r="D7" i="11" s="1"/>
  <c r="E7" i="11" s="1"/>
  <c r="F7" i="11" s="1"/>
  <c r="G7" i="11" s="1"/>
  <c r="C4" i="11"/>
  <c r="B7" i="11" s="1"/>
  <c r="G9" i="10"/>
  <c r="G30" i="10"/>
  <c r="G26" i="10"/>
  <c r="G18" i="10"/>
  <c r="G13" i="10"/>
  <c r="C5" i="10"/>
  <c r="C9" i="10" s="1"/>
  <c r="D9" i="10" s="1"/>
  <c r="E9" i="10" s="1"/>
  <c r="C4" i="10"/>
  <c r="M38" i="9"/>
  <c r="L38" i="9"/>
  <c r="C34" i="3"/>
  <c r="K38" i="9" s="1"/>
  <c r="L26" i="9"/>
  <c r="M26" i="9"/>
  <c r="K26" i="9"/>
  <c r="D19" i="3"/>
  <c r="E19" i="3"/>
  <c r="C19" i="3"/>
  <c r="L35" i="9"/>
  <c r="M35" i="9"/>
  <c r="L36" i="9"/>
  <c r="M36" i="9"/>
  <c r="L37" i="9"/>
  <c r="M37" i="9"/>
  <c r="C33" i="3"/>
  <c r="K37" i="9" s="1"/>
  <c r="K36" i="9"/>
  <c r="D13" i="3"/>
  <c r="E13" i="3"/>
  <c r="C13" i="3"/>
  <c r="D27" i="3" l="1"/>
  <c r="D28" i="3"/>
  <c r="E27" i="3"/>
  <c r="E28" i="3"/>
  <c r="C27" i="3"/>
  <c r="C28" i="3"/>
  <c r="G31" i="10"/>
  <c r="G19" i="10"/>
  <c r="O38" i="9" l="1"/>
  <c r="O37" i="9"/>
  <c r="O36" i="9"/>
  <c r="S36" i="9"/>
  <c r="S38" i="9"/>
  <c r="S37" i="9"/>
  <c r="P36" i="9"/>
  <c r="P38" i="9"/>
  <c r="P37" i="9"/>
  <c r="R37" i="9"/>
  <c r="R36" i="9"/>
  <c r="R38" i="9"/>
  <c r="Q37" i="9"/>
  <c r="Q36" i="9"/>
  <c r="Q38" i="9"/>
  <c r="G33" i="10"/>
  <c r="M39" i="9" l="1"/>
  <c r="L39" i="9"/>
  <c r="K39" i="9"/>
  <c r="D36" i="3"/>
  <c r="E36" i="3"/>
  <c r="C36" i="3"/>
  <c r="C13" i="10"/>
  <c r="C18" i="10"/>
  <c r="C26" i="10"/>
  <c r="C30" i="10"/>
  <c r="E30" i="10"/>
  <c r="D30" i="10"/>
  <c r="E26" i="10"/>
  <c r="D26" i="10"/>
  <c r="E18" i="10"/>
  <c r="D18" i="10"/>
  <c r="E13" i="10"/>
  <c r="D13" i="10"/>
  <c r="B9" i="10"/>
  <c r="H69" i="9"/>
  <c r="G69" i="9"/>
  <c r="F69" i="9"/>
  <c r="E69" i="9"/>
  <c r="D69" i="9"/>
  <c r="H68" i="9"/>
  <c r="G68" i="9"/>
  <c r="F68" i="9"/>
  <c r="E68" i="9"/>
  <c r="D68" i="9"/>
  <c r="M55" i="9"/>
  <c r="L55" i="9"/>
  <c r="K55" i="9"/>
  <c r="M54" i="9"/>
  <c r="L54" i="9"/>
  <c r="K54" i="9"/>
  <c r="S53" i="9"/>
  <c r="R53" i="9"/>
  <c r="Q53" i="9"/>
  <c r="P53" i="9"/>
  <c r="O53" i="9"/>
  <c r="M53" i="9"/>
  <c r="L53" i="9"/>
  <c r="K53" i="9"/>
  <c r="H50" i="9"/>
  <c r="G50" i="9"/>
  <c r="F50" i="9"/>
  <c r="E50" i="9"/>
  <c r="D50" i="9"/>
  <c r="K35" i="9"/>
  <c r="M34" i="9"/>
  <c r="L34" i="9"/>
  <c r="K34" i="9"/>
  <c r="M33" i="9"/>
  <c r="L33" i="9"/>
  <c r="K33" i="9"/>
  <c r="M32" i="9"/>
  <c r="L32" i="9"/>
  <c r="K32" i="9"/>
  <c r="M31" i="9"/>
  <c r="L31" i="9"/>
  <c r="K31" i="9"/>
  <c r="M27" i="9"/>
  <c r="L27" i="9"/>
  <c r="K27" i="9"/>
  <c r="M25" i="9"/>
  <c r="L25" i="9"/>
  <c r="K25" i="9"/>
  <c r="M23" i="9"/>
  <c r="L23" i="9"/>
  <c r="K23" i="9"/>
  <c r="M15" i="9"/>
  <c r="M64" i="9" s="1"/>
  <c r="L15" i="9"/>
  <c r="L64" i="9" s="1"/>
  <c r="K15" i="9"/>
  <c r="K64" i="9" s="1"/>
  <c r="H15" i="9"/>
  <c r="S15" i="9" s="1"/>
  <c r="S64" i="9" s="1"/>
  <c r="G15" i="9"/>
  <c r="R15" i="9" s="1"/>
  <c r="R64" i="9" s="1"/>
  <c r="F15" i="9"/>
  <c r="Q15" i="9" s="1"/>
  <c r="Q64" i="9" s="1"/>
  <c r="E15" i="9"/>
  <c r="P15" i="9" s="1"/>
  <c r="P64" i="9" s="1"/>
  <c r="D15" i="9"/>
  <c r="O15" i="9" s="1"/>
  <c r="O64" i="9" s="1"/>
  <c r="S14" i="9"/>
  <c r="S63" i="9" s="1"/>
  <c r="R14" i="9"/>
  <c r="R63" i="9" s="1"/>
  <c r="Q14" i="9"/>
  <c r="Q63" i="9" s="1"/>
  <c r="P14" i="9"/>
  <c r="P63" i="9" s="1"/>
  <c r="O14" i="9"/>
  <c r="O63" i="9" s="1"/>
  <c r="M14" i="9"/>
  <c r="M63" i="9" s="1"/>
  <c r="L14" i="9"/>
  <c r="L63" i="9" s="1"/>
  <c r="K14" i="9"/>
  <c r="K63" i="9" s="1"/>
  <c r="S13" i="9"/>
  <c r="S62" i="9" s="1"/>
  <c r="R13" i="9"/>
  <c r="R62" i="9" s="1"/>
  <c r="Q13" i="9"/>
  <c r="Q62" i="9" s="1"/>
  <c r="P13" i="9"/>
  <c r="P62" i="9" s="1"/>
  <c r="O13" i="9"/>
  <c r="O62" i="9" s="1"/>
  <c r="M13" i="9"/>
  <c r="M62" i="9" s="1"/>
  <c r="L13" i="9"/>
  <c r="L62" i="9" s="1"/>
  <c r="K13" i="9"/>
  <c r="K62" i="9" s="1"/>
  <c r="H11" i="9"/>
  <c r="S11" i="9" s="1"/>
  <c r="G11" i="9"/>
  <c r="R11" i="9" s="1"/>
  <c r="F11" i="9"/>
  <c r="Q11" i="9" s="1"/>
  <c r="E11" i="9"/>
  <c r="E12" i="9" s="1"/>
  <c r="D11" i="9"/>
  <c r="D12" i="9" s="1"/>
  <c r="O10" i="9"/>
  <c r="P10" i="9" s="1"/>
  <c r="P61" i="9" s="1"/>
  <c r="J10" i="9"/>
  <c r="D10" i="9"/>
  <c r="D61" i="9" s="1"/>
  <c r="C10" i="9"/>
  <c r="C61" i="9" s="1"/>
  <c r="E31" i="10" l="1"/>
  <c r="S25" i="9"/>
  <c r="Q25" i="9"/>
  <c r="O25" i="9"/>
  <c r="R25" i="9"/>
  <c r="P25" i="9"/>
  <c r="L40" i="9"/>
  <c r="M40" i="9"/>
  <c r="K40" i="9"/>
  <c r="C19" i="10"/>
  <c r="D31" i="10"/>
  <c r="D19" i="10"/>
  <c r="E19" i="10"/>
  <c r="E33" i="10" s="1"/>
  <c r="O11" i="9"/>
  <c r="L28" i="9"/>
  <c r="M28" i="9"/>
  <c r="K56" i="9"/>
  <c r="L56" i="9"/>
  <c r="M56" i="9"/>
  <c r="K28" i="9"/>
  <c r="O12" i="9"/>
  <c r="D23" i="9"/>
  <c r="O23" i="9" s="1"/>
  <c r="P11" i="9"/>
  <c r="F12" i="9"/>
  <c r="F23" i="9" s="1"/>
  <c r="Q39" i="9" s="1"/>
  <c r="H12" i="9"/>
  <c r="S12" i="9" s="1"/>
  <c r="O61" i="9"/>
  <c r="C31" i="10"/>
  <c r="E23" i="9"/>
  <c r="P12" i="9"/>
  <c r="Q10" i="9"/>
  <c r="G12" i="9"/>
  <c r="E10" i="9"/>
  <c r="P34" i="9" l="1"/>
  <c r="P67" i="9" s="1"/>
  <c r="P33" i="9"/>
  <c r="P35" i="9"/>
  <c r="R33" i="9"/>
  <c r="R35" i="9"/>
  <c r="R34" i="9"/>
  <c r="R67" i="9" s="1"/>
  <c r="O35" i="9"/>
  <c r="O34" i="9"/>
  <c r="O67" i="9" s="1"/>
  <c r="O33" i="9"/>
  <c r="Q33" i="9"/>
  <c r="Q35" i="9"/>
  <c r="Q34" i="9"/>
  <c r="Q67" i="9" s="1"/>
  <c r="O32" i="9"/>
  <c r="O31" i="9"/>
  <c r="S35" i="9"/>
  <c r="S33" i="9"/>
  <c r="S34" i="9"/>
  <c r="S67" i="9" s="1"/>
  <c r="M68" i="9"/>
  <c r="L68" i="9"/>
  <c r="K68" i="9"/>
  <c r="D33" i="10"/>
  <c r="O28" i="9"/>
  <c r="H23" i="9"/>
  <c r="S39" i="9" s="1"/>
  <c r="C33" i="10"/>
  <c r="Q23" i="9"/>
  <c r="Q12" i="9"/>
  <c r="P39" i="9"/>
  <c r="P23" i="9"/>
  <c r="E61" i="9"/>
  <c r="F10" i="9"/>
  <c r="G23" i="9"/>
  <c r="R12" i="9"/>
  <c r="Q61" i="9"/>
  <c r="R10" i="9"/>
  <c r="Q32" i="9" l="1"/>
  <c r="Q31" i="9"/>
  <c r="P31" i="9"/>
  <c r="P32" i="9"/>
  <c r="O39" i="9"/>
  <c r="O40" i="9" s="1"/>
  <c r="O68" i="9" s="1"/>
  <c r="O45" i="9"/>
  <c r="O46" i="9"/>
  <c r="O47" i="9"/>
  <c r="O54" i="9"/>
  <c r="O56" i="9" s="1"/>
  <c r="O43" i="9"/>
  <c r="O65" i="9" s="1"/>
  <c r="O44" i="9"/>
  <c r="S23" i="9"/>
  <c r="Q28" i="9"/>
  <c r="R23" i="9"/>
  <c r="R39" i="9"/>
  <c r="F61" i="9"/>
  <c r="G10" i="9"/>
  <c r="P28" i="9"/>
  <c r="R61" i="9"/>
  <c r="S10" i="9"/>
  <c r="S61" i="9" s="1"/>
  <c r="Q40" i="9" l="1"/>
  <c r="R32" i="9"/>
  <c r="R31" i="9"/>
  <c r="S32" i="9"/>
  <c r="S31" i="9"/>
  <c r="Q68" i="9"/>
  <c r="O66" i="9"/>
  <c r="O48" i="9"/>
  <c r="O50" i="9" s="1"/>
  <c r="O69" i="9" s="1"/>
  <c r="Q46" i="9"/>
  <c r="Q54" i="9"/>
  <c r="Q56" i="9" s="1"/>
  <c r="Q47" i="9"/>
  <c r="Q43" i="9"/>
  <c r="Q65" i="9" s="1"/>
  <c r="Q44" i="9"/>
  <c r="Q45" i="9"/>
  <c r="P40" i="9"/>
  <c r="P68" i="9" s="1"/>
  <c r="S28" i="9"/>
  <c r="H10" i="9"/>
  <c r="H61" i="9" s="1"/>
  <c r="G61" i="9"/>
  <c r="P47" i="9"/>
  <c r="P46" i="9"/>
  <c r="P45" i="9"/>
  <c r="P44" i="9"/>
  <c r="P43" i="9"/>
  <c r="P65" i="9" s="1"/>
  <c r="P54" i="9"/>
  <c r="P56" i="9" s="1"/>
  <c r="R28" i="9"/>
  <c r="D58" i="3"/>
  <c r="E58" i="3"/>
  <c r="D59" i="3"/>
  <c r="E59" i="3"/>
  <c r="D60" i="3"/>
  <c r="E60" i="3"/>
  <c r="C60" i="3"/>
  <c r="C59" i="3"/>
  <c r="C58" i="3"/>
  <c r="C10" i="3"/>
  <c r="B10" i="3"/>
  <c r="E52" i="3"/>
  <c r="D52" i="3"/>
  <c r="C52" i="3"/>
  <c r="E24" i="3"/>
  <c r="D24" i="3"/>
  <c r="C24" i="3"/>
  <c r="C64" i="3" s="1"/>
  <c r="S45" i="9" l="1"/>
  <c r="Q66" i="9"/>
  <c r="S40" i="9"/>
  <c r="S68" i="9" s="1"/>
  <c r="S54" i="9"/>
  <c r="S56" i="9" s="1"/>
  <c r="O58" i="9"/>
  <c r="C9" i="11" s="1"/>
  <c r="Q48" i="9"/>
  <c r="Q50" i="9" s="1"/>
  <c r="Q58" i="9" s="1"/>
  <c r="E9" i="11" s="1"/>
  <c r="E19" i="11" s="1"/>
  <c r="D64" i="3"/>
  <c r="E64" i="3"/>
  <c r="S46" i="9"/>
  <c r="S47" i="9"/>
  <c r="S43" i="9"/>
  <c r="S65" i="9" s="1"/>
  <c r="S44" i="9"/>
  <c r="R40" i="9"/>
  <c r="R68" i="9" s="1"/>
  <c r="D43" i="3"/>
  <c r="D40" i="3"/>
  <c r="D41" i="3"/>
  <c r="D42" i="3"/>
  <c r="D39" i="3"/>
  <c r="E39" i="3"/>
  <c r="E43" i="3"/>
  <c r="E40" i="3"/>
  <c r="E41" i="3"/>
  <c r="E42" i="3"/>
  <c r="C43" i="3"/>
  <c r="C42" i="3"/>
  <c r="C41" i="3"/>
  <c r="C39" i="3"/>
  <c r="C40" i="3"/>
  <c r="C57" i="3"/>
  <c r="K10" i="9"/>
  <c r="K61" i="9" s="1"/>
  <c r="D10" i="3"/>
  <c r="P48" i="9"/>
  <c r="P50" i="9" s="1"/>
  <c r="R47" i="9"/>
  <c r="R46" i="9"/>
  <c r="R45" i="9"/>
  <c r="R43" i="9"/>
  <c r="R65" i="9" s="1"/>
  <c r="R54" i="9"/>
  <c r="R56" i="9" s="1"/>
  <c r="R44" i="9"/>
  <c r="P66" i="9"/>
  <c r="C19" i="11" l="1"/>
  <c r="C22" i="11" s="1"/>
  <c r="D21" i="11" s="1"/>
  <c r="S66" i="9"/>
  <c r="R66" i="9"/>
  <c r="Q69" i="9"/>
  <c r="O59" i="9"/>
  <c r="O70" i="9"/>
  <c r="S48" i="9"/>
  <c r="S50" i="9" s="1"/>
  <c r="S58" i="9" s="1"/>
  <c r="G9" i="11" s="1"/>
  <c r="G19" i="11" s="1"/>
  <c r="C61" i="3"/>
  <c r="C62" i="3" s="1"/>
  <c r="K43" i="9"/>
  <c r="K65" i="9" s="1"/>
  <c r="C44" i="3"/>
  <c r="C46" i="3" s="1"/>
  <c r="C65" i="3" s="1"/>
  <c r="M47" i="9"/>
  <c r="K45" i="9"/>
  <c r="E61" i="3"/>
  <c r="E62" i="3" s="1"/>
  <c r="M43" i="9"/>
  <c r="M65" i="9" s="1"/>
  <c r="E44" i="3"/>
  <c r="E46" i="3" s="1"/>
  <c r="E65" i="3" s="1"/>
  <c r="K46" i="9"/>
  <c r="D61" i="3"/>
  <c r="D62" i="3" s="1"/>
  <c r="L43" i="9"/>
  <c r="L65" i="9" s="1"/>
  <c r="D44" i="3"/>
  <c r="D46" i="3" s="1"/>
  <c r="D54" i="3" s="1"/>
  <c r="K47" i="9"/>
  <c r="L46" i="9"/>
  <c r="L45" i="9"/>
  <c r="M46" i="9"/>
  <c r="L44" i="9"/>
  <c r="M45" i="9"/>
  <c r="L47" i="9"/>
  <c r="K44" i="9"/>
  <c r="M44" i="9"/>
  <c r="Q59" i="9"/>
  <c r="L10" i="9"/>
  <c r="L61" i="9" s="1"/>
  <c r="E10" i="3"/>
  <c r="D57" i="3"/>
  <c r="Q70" i="9"/>
  <c r="P69" i="9"/>
  <c r="P58" i="9"/>
  <c r="D9" i="11" s="1"/>
  <c r="R48" i="9"/>
  <c r="R50" i="9" s="1"/>
  <c r="D19" i="11" l="1"/>
  <c r="D22" i="11" s="1"/>
  <c r="E21" i="11" s="1"/>
  <c r="E22" i="11" s="1"/>
  <c r="F21" i="11" s="1"/>
  <c r="D65" i="3"/>
  <c r="C54" i="3"/>
  <c r="C66" i="3" s="1"/>
  <c r="S69" i="9"/>
  <c r="L66" i="9"/>
  <c r="L48" i="9"/>
  <c r="L50" i="9" s="1"/>
  <c r="E54" i="3"/>
  <c r="E55" i="3" s="1"/>
  <c r="M48" i="9"/>
  <c r="M50" i="9" s="1"/>
  <c r="M66" i="9"/>
  <c r="K66" i="9"/>
  <c r="K48" i="9"/>
  <c r="K50" i="9" s="1"/>
  <c r="D66" i="3"/>
  <c r="D55" i="3"/>
  <c r="S70" i="9"/>
  <c r="E57" i="3"/>
  <c r="M10" i="9"/>
  <c r="M61" i="9" s="1"/>
  <c r="P59" i="9"/>
  <c r="S59" i="9"/>
  <c r="P70" i="9"/>
  <c r="R69" i="9"/>
  <c r="R58" i="9"/>
  <c r="F9" i="11" s="1"/>
  <c r="F19" i="11" l="1"/>
  <c r="F22" i="11" s="1"/>
  <c r="G21" i="11" s="1"/>
  <c r="G22" i="11" s="1"/>
  <c r="C55" i="3"/>
  <c r="E66" i="3"/>
  <c r="M58" i="9"/>
  <c r="M69" i="9"/>
  <c r="K69" i="9"/>
  <c r="K58" i="9"/>
  <c r="L69" i="9"/>
  <c r="L58" i="9"/>
  <c r="R70" i="9"/>
  <c r="R59" i="9"/>
  <c r="M70" i="9" l="1"/>
  <c r="M59" i="9"/>
  <c r="K70" i="9"/>
  <c r="K59" i="9"/>
  <c r="L59" i="9"/>
  <c r="L70" i="9"/>
</calcChain>
</file>

<file path=xl/sharedStrings.xml><?xml version="1.0" encoding="utf-8"?>
<sst xmlns="http://schemas.openxmlformats.org/spreadsheetml/2006/main" count="269" uniqueCount="172">
  <si>
    <t>Revenues</t>
  </si>
  <si>
    <t>Total Revenue</t>
  </si>
  <si>
    <t>Admin and General</t>
  </si>
  <si>
    <t>Sales and Marketing</t>
  </si>
  <si>
    <t>Repairs and Maintenance</t>
  </si>
  <si>
    <t>Utilities</t>
  </si>
  <si>
    <t>EBITDA</t>
  </si>
  <si>
    <t>EBTIDA %</t>
  </si>
  <si>
    <t>Name of Business/Property</t>
  </si>
  <si>
    <t>Year of Start of Projections</t>
  </si>
  <si>
    <t>Projected Occupancy</t>
  </si>
  <si>
    <t>Projected ADR</t>
  </si>
  <si>
    <t>RevPAR</t>
  </si>
  <si>
    <t>Other Revenue</t>
  </si>
  <si>
    <t>Department Costs</t>
  </si>
  <si>
    <t>F&amp;B - Payroll</t>
  </si>
  <si>
    <t>F&amp;B - Cost of Sales</t>
  </si>
  <si>
    <t>F&amp;B - Other Costs</t>
  </si>
  <si>
    <t>Total Department Costs</t>
  </si>
  <si>
    <t>Other Operating Costs</t>
  </si>
  <si>
    <t>Total Other Operating Costs</t>
  </si>
  <si>
    <t>Fixed Costs</t>
  </si>
  <si>
    <t>Gross Operating Profit</t>
  </si>
  <si>
    <t>GOP %</t>
  </si>
  <si>
    <t>Rent</t>
  </si>
  <si>
    <t>Insurance</t>
  </si>
  <si>
    <t>Rates</t>
  </si>
  <si>
    <t>Total Fixed Costs</t>
  </si>
  <si>
    <t>Number of functions per year</t>
  </si>
  <si>
    <t>Number of days open per year</t>
  </si>
  <si>
    <t>Average size of function (#ppl)</t>
  </si>
  <si>
    <t xml:space="preserve">Insert % of F&amp;B Revenue </t>
  </si>
  <si>
    <t xml:space="preserve">Insert % of TOTAL Revenue </t>
  </si>
  <si>
    <t>Insert Rent figure</t>
  </si>
  <si>
    <t>Insert estimated occ %</t>
  </si>
  <si>
    <t>Insert estimated ADR €</t>
  </si>
  <si>
    <t>Key Performance Indicators</t>
  </si>
  <si>
    <t>Total Payroll Cost</t>
  </si>
  <si>
    <t>Other Staff/Payroll Costs</t>
  </si>
  <si>
    <t>Total Payroll %</t>
  </si>
  <si>
    <t>Food &amp; Beverage Gross Margin</t>
  </si>
  <si>
    <t>Occupancy</t>
  </si>
  <si>
    <t>ADR</t>
  </si>
  <si>
    <t>EBITDA %</t>
  </si>
  <si>
    <t>Non-Current Assets</t>
  </si>
  <si>
    <t>Land &amp; Buildings</t>
  </si>
  <si>
    <t>Fixtures and Fittings</t>
  </si>
  <si>
    <t>Current Assets</t>
  </si>
  <si>
    <t>Cash</t>
  </si>
  <si>
    <t>Stock</t>
  </si>
  <si>
    <t>Total Assets</t>
  </si>
  <si>
    <t>Current Liabilities</t>
  </si>
  <si>
    <t>Bank overdraft</t>
  </si>
  <si>
    <t>Tax liabilities</t>
  </si>
  <si>
    <t>Bank Loans (&lt; 1 Year)</t>
  </si>
  <si>
    <t>Long Term Liabilities</t>
  </si>
  <si>
    <t>Bank Loans (&gt; 1 Year)</t>
  </si>
  <si>
    <t>Shareholder Loan</t>
  </si>
  <si>
    <t>Total Liabilities</t>
  </si>
  <si>
    <t>Net Assets</t>
  </si>
  <si>
    <t>Debtors &amp; Prepayments</t>
  </si>
  <si>
    <t>Trade &amp; other creditors</t>
  </si>
  <si>
    <t>LESS Current Debt Repayments/Financing Costs</t>
  </si>
  <si>
    <t>ADD Government Supports</t>
  </si>
  <si>
    <t>ADD Grant Funding</t>
  </si>
  <si>
    <t>LESS Other outflows</t>
  </si>
  <si>
    <t>ADD Other Inflows</t>
  </si>
  <si>
    <t>Free Cashflows Generated By the Business</t>
  </si>
  <si>
    <t>Closing Balance</t>
  </si>
  <si>
    <t>SEE BELOW TO COMPLETE CALCULATIONS</t>
  </si>
  <si>
    <t>Introduction</t>
  </si>
  <si>
    <t>1. Historic P&amp;L</t>
  </si>
  <si>
    <t>2 P&amp;L Projections</t>
  </si>
  <si>
    <t>Historic P&amp;L</t>
  </si>
  <si>
    <t>Only populate the orange cells</t>
  </si>
  <si>
    <t>Complete only the relevant cost/revenue items</t>
  </si>
  <si>
    <t>Year of Start of Historic data</t>
  </si>
  <si>
    <t>This information will link to the P&amp;L projections tab</t>
  </si>
  <si>
    <t>P&amp;L Projections</t>
  </si>
  <si>
    <t>Follow the direct line instructions for completion of each cost/revenue heading</t>
  </si>
  <si>
    <t>Complete only the relevant asset/liabilitiy items</t>
  </si>
  <si>
    <t>Complete this for the 3 years that you have provided historic P&amp;L data for</t>
  </si>
  <si>
    <t>Cashflow Analysis</t>
  </si>
  <si>
    <t>This is from the start of the projection period</t>
  </si>
  <si>
    <t>The EBITDA will link from the P&amp;L Projections tab</t>
  </si>
  <si>
    <r>
      <t xml:space="preserve">Opening Balance </t>
    </r>
    <r>
      <rPr>
        <b/>
        <sz val="11"/>
        <color theme="1"/>
        <rFont val="Calibri"/>
        <family val="2"/>
        <scheme val="minor"/>
      </rPr>
      <t>(Complete first cell only)</t>
    </r>
  </si>
  <si>
    <t>Other Costs</t>
  </si>
  <si>
    <t xml:space="preserve">Insert % of Other Revenue </t>
  </si>
  <si>
    <t>LESS Capex (excluding any capex related to the funding request)</t>
  </si>
  <si>
    <t>LESS Corporation Tax Payments</t>
  </si>
  <si>
    <t>N1</t>
  </si>
  <si>
    <r>
      <rPr>
        <b/>
        <sz val="11"/>
        <color theme="1"/>
        <rFont val="Calibri"/>
        <family val="2"/>
        <scheme val="minor"/>
      </rPr>
      <t xml:space="preserve">N1: </t>
    </r>
    <r>
      <rPr>
        <sz val="11"/>
        <color theme="1"/>
        <rFont val="Calibri"/>
        <family val="2"/>
        <scheme val="minor"/>
      </rPr>
      <t>the free cashflows generated by the business will help the lender in determining your repayment capcity for your funding request</t>
    </r>
  </si>
  <si>
    <t>Other Department Costs</t>
  </si>
  <si>
    <t>ONLY POPULATE THE ORANGE CELLS</t>
  </si>
  <si>
    <t>Departmental Profit %</t>
  </si>
  <si>
    <t>PROJECTED</t>
  </si>
  <si>
    <t>BALANCE SHEET</t>
  </si>
  <si>
    <t>HISTORIC</t>
  </si>
  <si>
    <t>Year of start of Historic Data</t>
  </si>
  <si>
    <t>Current BS Date</t>
  </si>
  <si>
    <t>CASHFLOW REPORT</t>
  </si>
  <si>
    <t>Year of start of Projections</t>
  </si>
  <si>
    <t>Profit and Loss Statement</t>
  </si>
  <si>
    <t>Cash outflows</t>
  </si>
  <si>
    <t>Cash Inflows</t>
  </si>
  <si>
    <t xml:space="preserve">Balance Sheet </t>
  </si>
  <si>
    <t>3 Balance Sheet</t>
  </si>
  <si>
    <t>4 Cashflow Analysis</t>
  </si>
  <si>
    <t>The 3 year historic information will link from the historic p&amp;l tab</t>
  </si>
  <si>
    <t>Also include the latest balance sheet</t>
  </si>
  <si>
    <t>EACH TAB IS SET UP TO PRINT THE RELEVANT TEMPLATES TO INCLUDE IN THE BUSINESS PLAN</t>
  </si>
  <si>
    <t>Number of Accomodation Units (rooms, houses, caravans)</t>
  </si>
  <si>
    <t>B&amp;B XYZ</t>
  </si>
  <si>
    <t>Accommodation Units</t>
  </si>
  <si>
    <t>Accommodation - camping</t>
  </si>
  <si>
    <t>Accommodation - units</t>
  </si>
  <si>
    <t>Food and Beverage</t>
  </si>
  <si>
    <t>Number of Pitch Units (camping)</t>
  </si>
  <si>
    <t>Accommodation Units - Occupancy</t>
  </si>
  <si>
    <t>Accommodation Units - ADR</t>
  </si>
  <si>
    <t>Accomodation Units - RevPAR</t>
  </si>
  <si>
    <t>Total Accommodation - Payroll</t>
  </si>
  <si>
    <t>Total Accommodation - Other Costs</t>
  </si>
  <si>
    <t>Accommodation Units Occupancy</t>
  </si>
  <si>
    <t>Accommodation Units ADR</t>
  </si>
  <si>
    <t>Accommodation Units RevPAR</t>
  </si>
  <si>
    <t>Number of Accommodation Units</t>
  </si>
  <si>
    <t>Accommodation Units Available</t>
  </si>
  <si>
    <t>Accommodation Units Sold</t>
  </si>
  <si>
    <t>Pitch Units Occupancy</t>
  </si>
  <si>
    <t>Pitch Units Average Rate</t>
  </si>
  <si>
    <t>Pitch Units Available</t>
  </si>
  <si>
    <t>Pitch Units Sold</t>
  </si>
  <si>
    <t># of Days per year Camping Available</t>
  </si>
  <si>
    <t>Camping</t>
  </si>
  <si>
    <t>Insert % of Total Accomm Rev</t>
  </si>
  <si>
    <t>Number of Days camping is available</t>
  </si>
  <si>
    <t>Accomm - Payroll</t>
  </si>
  <si>
    <t>Accomm - Other Costs</t>
  </si>
  <si>
    <t xml:space="preserve">Insert % of Total Acc Revenue </t>
  </si>
  <si>
    <t>Rest/outlet F&amp;B sales per day</t>
  </si>
  <si>
    <t>Food and Beverage (F&amp;B) Revenue Inputs</t>
  </si>
  <si>
    <t>Average F&amp;B spend pp per function</t>
  </si>
  <si>
    <t>Average number of tickets per day</t>
  </si>
  <si>
    <t>Average ticket price</t>
  </si>
  <si>
    <t>Total Function F&amp;B Revenue</t>
  </si>
  <si>
    <t>Accom Units Projected Occupancy</t>
  </si>
  <si>
    <t>Accomm Units Projected ADR</t>
  </si>
  <si>
    <t>Accom Units RevPAR</t>
  </si>
  <si>
    <t>Pitch Units Average Annual Rate</t>
  </si>
  <si>
    <t xml:space="preserve">There are 4 templates (tabs) to be completed </t>
  </si>
  <si>
    <t>Onsite Activity</t>
  </si>
  <si>
    <t>Onsite Activity - Payroll</t>
  </si>
  <si>
    <t>Onsite Activity - Cost of Sales</t>
  </si>
  <si>
    <t>Onsite Activity - Other Costs</t>
  </si>
  <si>
    <t>Onsite Activity Revenue Inputs</t>
  </si>
  <si>
    <t>Onsite Activity tickets</t>
  </si>
  <si>
    <t>Onsite Activity Retail</t>
  </si>
  <si>
    <t>Other Onsite Activity revenue</t>
  </si>
  <si>
    <t xml:space="preserve">Insert % of Onsite Activity Rev </t>
  </si>
  <si>
    <t>Total Onsite Activity Revenue</t>
  </si>
  <si>
    <t>Camping Pitch Units - Occupancy (if available)</t>
  </si>
  <si>
    <t>Camping Pitch Units - ADR (if available)</t>
  </si>
  <si>
    <t>Total Annual F&amp;B Revenue</t>
  </si>
  <si>
    <t>CURRENT</t>
  </si>
  <si>
    <t>Accommodation - Payroll</t>
  </si>
  <si>
    <t>Accommodation - Other Costs</t>
  </si>
  <si>
    <t>Insert Rates figure</t>
  </si>
  <si>
    <r>
      <rPr>
        <b/>
        <sz val="20"/>
        <color theme="0"/>
        <rFont val="Calibri"/>
        <family val="2"/>
        <scheme val="minor"/>
      </rPr>
      <t>HISTORIC P&amp;L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</si>
  <si>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P&amp;L PROJECTIONS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</si>
  <si>
    <r>
      <rPr>
        <b/>
        <sz val="20"/>
        <color theme="0"/>
        <rFont val="Calibri"/>
        <family val="2"/>
        <scheme val="minor"/>
      </rPr>
      <t>BALANCE SHEET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>Designed in partnership with Crowe</t>
    </r>
  </si>
  <si>
    <r>
      <rPr>
        <b/>
        <sz val="20"/>
        <color theme="0"/>
        <rFont val="Calibri"/>
        <family val="2"/>
        <scheme val="minor"/>
      </rPr>
      <t>CASHFLOW REPORT</t>
    </r>
    <r>
      <rPr>
        <b/>
        <sz val="14"/>
        <color theme="0"/>
        <rFont val="Calibri"/>
        <family val="2"/>
        <scheme val="minor"/>
      </rPr>
      <t xml:space="preserve">
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</si>
</sst>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€&quot;#,##0;[Red]\-&quot;€&quot;#,##0"/>
    <numFmt numFmtId="43" formatCode="_-* #,##0.00_-;\-* #,##0.00_-;_-* &quot;-&quot;??_-;_-@_-"/>
    <numFmt numFmtId="164" formatCode="&quot;€&quot;0.0;\(&quot;€&quot;0.0\);\-"/>
    <numFmt numFmtId="165" formatCode="#,##0;\(#,##0\);\-"/>
    <numFmt numFmtId="166" formatCode="&quot;€&quot;#,##0"/>
    <numFmt numFmtId="167" formatCode="0.0%"/>
    <numFmt numFmtId="168" formatCode="_-* #,##0_-;\-* #,##0_-;_-* &quot;-&quot;??_-;_-@_-"/>
    <numFmt numFmtId="169" formatCode="&quot;€&quot;#,##0.00"/>
    <numFmt numFmtId="170" formatCode="&quot;€&quot;#,##0,&quot;k&quot;;[Red]\ \-&quot;€&quot;#,##0,&quot;k&quot;;"/>
    <numFmt numFmtId="171" formatCode="&quot;€&quot;0.00;\(&quot;€&quot;0.00\);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Font="1"/>
    <xf numFmtId="166" fontId="0" fillId="0" borderId="0" xfId="0" applyNumberFormat="1" applyFont="1"/>
    <xf numFmtId="169" fontId="0" fillId="0" borderId="0" xfId="0" applyNumberFormat="1" applyFont="1"/>
    <xf numFmtId="0" fontId="0" fillId="0" borderId="0" xfId="0" applyFill="1"/>
    <xf numFmtId="0" fontId="0" fillId="0" borderId="0" xfId="0" applyFont="1" applyBorder="1"/>
    <xf numFmtId="0" fontId="0" fillId="6" borderId="0" xfId="0" applyFill="1" applyBorder="1"/>
    <xf numFmtId="169" fontId="6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0" fontId="3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3" fillId="6" borderId="5" xfId="0" applyFont="1" applyFill="1" applyBorder="1"/>
    <xf numFmtId="9" fontId="0" fillId="0" borderId="0" xfId="2" applyFont="1" applyFill="1" applyBorder="1"/>
    <xf numFmtId="166" fontId="0" fillId="0" borderId="0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5" borderId="0" xfId="0" applyFont="1" applyFill="1" applyAlignment="1" applyProtection="1"/>
    <xf numFmtId="0" fontId="7" fillId="0" borderId="0" xfId="0" applyFont="1" applyFill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0" borderId="5" xfId="0" applyFont="1" applyBorder="1" applyProtection="1"/>
    <xf numFmtId="0" fontId="0" fillId="0" borderId="0" xfId="0" applyFont="1" applyFill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3" fillId="0" borderId="2" xfId="0" applyFont="1" applyBorder="1" applyProtection="1"/>
    <xf numFmtId="17" fontId="3" fillId="0" borderId="3" xfId="0" applyNumberFormat="1" applyFont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Font="1" applyBorder="1" applyProtection="1"/>
    <xf numFmtId="0" fontId="2" fillId="2" borderId="5" xfId="3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right" vertical="center" wrapText="1"/>
    </xf>
    <xf numFmtId="0" fontId="2" fillId="2" borderId="6" xfId="3" applyFont="1" applyFill="1" applyBorder="1" applyAlignment="1" applyProtection="1">
      <alignment horizontal="right" vertical="center" wrapText="1"/>
    </xf>
    <xf numFmtId="0" fontId="3" fillId="0" borderId="5" xfId="0" applyFont="1" applyBorder="1" applyProtection="1"/>
    <xf numFmtId="166" fontId="6" fillId="0" borderId="0" xfId="3" applyNumberFormat="1" applyFont="1" applyBorder="1" applyAlignment="1" applyProtection="1">
      <alignment vertical="center"/>
    </xf>
    <xf numFmtId="166" fontId="6" fillId="0" borderId="6" xfId="3" applyNumberFormat="1" applyFont="1" applyBorder="1" applyAlignment="1" applyProtection="1">
      <alignment vertical="center"/>
    </xf>
    <xf numFmtId="166" fontId="0" fillId="0" borderId="0" xfId="0" applyNumberFormat="1" applyFont="1" applyProtection="1"/>
    <xf numFmtId="169" fontId="0" fillId="0" borderId="0" xfId="0" applyNumberFormat="1" applyFont="1" applyProtection="1"/>
    <xf numFmtId="166" fontId="6" fillId="5" borderId="0" xfId="3" applyNumberFormat="1" applyFont="1" applyFill="1" applyBorder="1" applyAlignment="1" applyProtection="1">
      <alignment vertical="center"/>
    </xf>
    <xf numFmtId="166" fontId="6" fillId="5" borderId="6" xfId="3" applyNumberFormat="1" applyFont="1" applyFill="1" applyBorder="1" applyAlignment="1" applyProtection="1">
      <alignment vertical="center"/>
    </xf>
    <xf numFmtId="6" fontId="6" fillId="5" borderId="0" xfId="3" applyNumberFormat="1" applyFont="1" applyFill="1" applyBorder="1" applyAlignment="1" applyProtection="1">
      <alignment vertical="center"/>
    </xf>
    <xf numFmtId="6" fontId="6" fillId="5" borderId="6" xfId="3" applyNumberFormat="1" applyFont="1" applyFill="1" applyBorder="1" applyAlignment="1" applyProtection="1">
      <alignment vertical="center"/>
    </xf>
    <xf numFmtId="0" fontId="3" fillId="0" borderId="0" xfId="0" applyFont="1" applyProtection="1"/>
    <xf numFmtId="166" fontId="3" fillId="0" borderId="0" xfId="0" applyNumberFormat="1" applyFont="1" applyBorder="1" applyProtection="1"/>
    <xf numFmtId="166" fontId="3" fillId="0" borderId="6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6" xfId="0" applyNumberFormat="1" applyFont="1" applyBorder="1" applyProtection="1"/>
    <xf numFmtId="0" fontId="0" fillId="0" borderId="7" xfId="0" applyFont="1" applyBorder="1" applyProtection="1"/>
    <xf numFmtId="166" fontId="0" fillId="0" borderId="8" xfId="0" applyNumberFormat="1" applyFont="1" applyBorder="1" applyProtection="1"/>
    <xf numFmtId="166" fontId="0" fillId="0" borderId="9" xfId="0" applyNumberFormat="1" applyFont="1" applyBorder="1" applyProtection="1"/>
    <xf numFmtId="0" fontId="0" fillId="0" borderId="2" xfId="0" applyFont="1" applyBorder="1" applyProtection="1"/>
    <xf numFmtId="0" fontId="0" fillId="0" borderId="3" xfId="0" applyFont="1" applyFill="1" applyBorder="1" applyProtection="1"/>
    <xf numFmtId="17" fontId="0" fillId="5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8" borderId="6" xfId="0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vertical="center"/>
    </xf>
    <xf numFmtId="17" fontId="2" fillId="2" borderId="6" xfId="3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wrapText="1" readingOrder="1"/>
    </xf>
    <xf numFmtId="0" fontId="3" fillId="0" borderId="0" xfId="0" applyFont="1" applyBorder="1" applyAlignment="1" applyProtection="1">
      <alignment horizontal="left" wrapText="1" readingOrder="1"/>
    </xf>
    <xf numFmtId="0" fontId="0" fillId="0" borderId="5" xfId="0" applyFont="1" applyBorder="1" applyAlignment="1" applyProtection="1">
      <alignment horizontal="left" wrapText="1" readingOrder="1"/>
    </xf>
    <xf numFmtId="170" fontId="0" fillId="5" borderId="0" xfId="0" applyNumberFormat="1" applyFont="1" applyFill="1" applyBorder="1" applyProtection="1"/>
    <xf numFmtId="170" fontId="0" fillId="5" borderId="6" xfId="0" applyNumberFormat="1" applyFont="1" applyFill="1" applyBorder="1" applyProtection="1"/>
    <xf numFmtId="170" fontId="0" fillId="5" borderId="1" xfId="0" applyNumberFormat="1" applyFont="1" applyFill="1" applyBorder="1" applyProtection="1"/>
    <xf numFmtId="170" fontId="0" fillId="5" borderId="10" xfId="0" applyNumberFormat="1" applyFont="1" applyFill="1" applyBorder="1" applyProtection="1"/>
    <xf numFmtId="0" fontId="0" fillId="0" borderId="5" xfId="0" applyFont="1" applyBorder="1" applyAlignment="1" applyProtection="1">
      <alignment vertical="center" wrapText="1"/>
    </xf>
    <xf numFmtId="170" fontId="0" fillId="0" borderId="0" xfId="0" applyNumberFormat="1" applyFont="1" applyBorder="1" applyProtection="1"/>
    <xf numFmtId="170" fontId="0" fillId="0" borderId="6" xfId="0" applyNumberFormat="1" applyFont="1" applyBorder="1" applyProtection="1"/>
    <xf numFmtId="0" fontId="3" fillId="3" borderId="5" xfId="0" applyFont="1" applyFill="1" applyBorder="1" applyAlignment="1" applyProtection="1">
      <alignment vertical="center" wrapText="1"/>
    </xf>
    <xf numFmtId="170" fontId="3" fillId="3" borderId="0" xfId="0" applyNumberFormat="1" applyFont="1" applyFill="1" applyBorder="1" applyProtection="1"/>
    <xf numFmtId="170" fontId="3" fillId="3" borderId="6" xfId="0" applyNumberFormat="1" applyFont="1" applyFill="1" applyBorder="1" applyProtection="1"/>
    <xf numFmtId="0" fontId="3" fillId="3" borderId="7" xfId="0" applyFont="1" applyFill="1" applyBorder="1" applyAlignment="1" applyProtection="1">
      <alignment horizontal="left" wrapText="1" readingOrder="1"/>
    </xf>
    <xf numFmtId="170" fontId="3" fillId="3" borderId="8" xfId="0" applyNumberFormat="1" applyFont="1" applyFill="1" applyBorder="1" applyProtection="1"/>
    <xf numFmtId="0" fontId="0" fillId="0" borderId="8" xfId="0" applyFont="1" applyBorder="1" applyProtection="1"/>
    <xf numFmtId="170" fontId="3" fillId="3" borderId="9" xfId="0" applyNumberFormat="1" applyFont="1" applyFill="1" applyBorder="1" applyProtection="1"/>
    <xf numFmtId="0" fontId="3" fillId="0" borderId="0" xfId="0" applyFont="1" applyAlignment="1" applyProtection="1"/>
    <xf numFmtId="0" fontId="3" fillId="5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/>
    </xf>
    <xf numFmtId="0" fontId="2" fillId="2" borderId="6" xfId="3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168" fontId="4" fillId="0" borderId="0" xfId="1" applyNumberFormat="1" applyFont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168" fontId="4" fillId="0" borderId="6" xfId="1" applyNumberFormat="1" applyFont="1" applyBorder="1" applyAlignment="1" applyProtection="1">
      <alignment vertical="center"/>
    </xf>
    <xf numFmtId="0" fontId="0" fillId="6" borderId="5" xfId="0" applyFont="1" applyFill="1" applyBorder="1" applyProtection="1"/>
    <xf numFmtId="9" fontId="4" fillId="5" borderId="0" xfId="2" applyFont="1" applyFill="1" applyBorder="1" applyAlignment="1" applyProtection="1">
      <alignment vertical="center"/>
    </xf>
    <xf numFmtId="9" fontId="4" fillId="0" borderId="0" xfId="2" applyFont="1" applyFill="1" applyBorder="1" applyAlignment="1" applyProtection="1">
      <alignment vertical="center"/>
    </xf>
    <xf numFmtId="9" fontId="4" fillId="0" borderId="6" xfId="2" applyFont="1" applyFill="1" applyBorder="1" applyAlignment="1" applyProtection="1">
      <alignment vertical="center"/>
    </xf>
    <xf numFmtId="171" fontId="4" fillId="5" borderId="0" xfId="3" applyNumberFormat="1" applyFont="1" applyFill="1" applyBorder="1" applyAlignment="1" applyProtection="1">
      <alignment vertical="center"/>
    </xf>
    <xf numFmtId="171" fontId="4" fillId="0" borderId="0" xfId="3" applyNumberFormat="1" applyFont="1" applyFill="1" applyBorder="1" applyAlignment="1" applyProtection="1">
      <alignment vertical="center"/>
    </xf>
    <xf numFmtId="171" fontId="4" fillId="0" borderId="6" xfId="3" applyNumberFormat="1" applyFont="1" applyFill="1" applyBorder="1" applyAlignment="1" applyProtection="1">
      <alignment vertical="center"/>
    </xf>
    <xf numFmtId="171" fontId="4" fillId="0" borderId="0" xfId="3" applyNumberFormat="1" applyFont="1" applyBorder="1" applyAlignment="1" applyProtection="1">
      <alignment vertical="center"/>
    </xf>
    <xf numFmtId="171" fontId="4" fillId="0" borderId="6" xfId="3" applyNumberFormat="1" applyFont="1" applyBorder="1" applyAlignment="1" applyProtection="1">
      <alignment vertical="center"/>
    </xf>
    <xf numFmtId="164" fontId="4" fillId="0" borderId="0" xfId="3" applyNumberFormat="1" applyFont="1" applyBorder="1" applyAlignment="1" applyProtection="1">
      <alignment vertical="center"/>
    </xf>
    <xf numFmtId="164" fontId="4" fillId="0" borderId="6" xfId="3" applyNumberFormat="1" applyFont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165" fontId="5" fillId="0" borderId="0" xfId="3" applyNumberFormat="1" applyFont="1" applyFill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center"/>
    </xf>
    <xf numFmtId="165" fontId="5" fillId="0" borderId="6" xfId="3" applyNumberFormat="1" applyFont="1" applyFill="1" applyBorder="1" applyAlignment="1" applyProtection="1">
      <alignment vertical="center"/>
    </xf>
    <xf numFmtId="43" fontId="6" fillId="0" borderId="0" xfId="1" applyFont="1" applyBorder="1" applyProtection="1"/>
    <xf numFmtId="166" fontId="6" fillId="0" borderId="0" xfId="0" applyNumberFormat="1" applyFont="1" applyFill="1" applyBorder="1" applyProtection="1"/>
    <xf numFmtId="43" fontId="6" fillId="0" borderId="5" xfId="1" applyFont="1" applyBorder="1" applyProtection="1"/>
    <xf numFmtId="166" fontId="6" fillId="0" borderId="6" xfId="0" applyNumberFormat="1" applyFont="1" applyFill="1" applyBorder="1" applyProtection="1"/>
    <xf numFmtId="167" fontId="6" fillId="5" borderId="0" xfId="2" applyNumberFormat="1" applyFont="1" applyFill="1" applyBorder="1" applyProtection="1"/>
    <xf numFmtId="0" fontId="5" fillId="4" borderId="0" xfId="3" applyFont="1" applyFill="1" applyBorder="1" applyAlignment="1" applyProtection="1">
      <alignment vertical="center"/>
    </xf>
    <xf numFmtId="166" fontId="5" fillId="4" borderId="0" xfId="3" applyNumberFormat="1" applyFont="1" applyFill="1" applyBorder="1" applyAlignment="1" applyProtection="1">
      <alignment vertical="center"/>
    </xf>
    <xf numFmtId="0" fontId="5" fillId="4" borderId="5" xfId="3" applyFont="1" applyFill="1" applyBorder="1" applyAlignment="1" applyProtection="1">
      <alignment vertical="center"/>
    </xf>
    <xf numFmtId="166" fontId="5" fillId="4" borderId="6" xfId="3" applyNumberFormat="1" applyFont="1" applyFill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6" fillId="0" borderId="5" xfId="3" applyFont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5" xfId="3" applyFont="1" applyBorder="1" applyAlignment="1" applyProtection="1">
      <alignment vertical="center"/>
    </xf>
    <xf numFmtId="167" fontId="6" fillId="5" borderId="0" xfId="2" applyNumberFormat="1" applyFont="1" applyFill="1" applyBorder="1" applyAlignment="1" applyProtection="1">
      <alignment vertical="center"/>
    </xf>
    <xf numFmtId="0" fontId="0" fillId="0" borderId="0" xfId="3" applyFont="1" applyBorder="1" applyProtection="1"/>
    <xf numFmtId="0" fontId="0" fillId="0" borderId="5" xfId="3" applyFont="1" applyBorder="1" applyProtection="1"/>
    <xf numFmtId="0" fontId="0" fillId="0" borderId="0" xfId="3" applyFont="1" applyFill="1" applyBorder="1" applyProtection="1"/>
    <xf numFmtId="0" fontId="0" fillId="0" borderId="5" xfId="3" applyFont="1" applyFill="1" applyBorder="1" applyProtection="1"/>
    <xf numFmtId="166" fontId="6" fillId="0" borderId="0" xfId="3" applyNumberFormat="1" applyFont="1" applyFill="1" applyBorder="1" applyAlignment="1" applyProtection="1">
      <alignment vertical="center"/>
    </xf>
    <xf numFmtId="165" fontId="5" fillId="0" borderId="0" xfId="3" applyNumberFormat="1" applyFont="1" applyBorder="1" applyAlignment="1" applyProtection="1">
      <alignment vertical="center"/>
    </xf>
    <xf numFmtId="165" fontId="5" fillId="0" borderId="6" xfId="3" applyNumberFormat="1" applyFont="1" applyBorder="1" applyAlignment="1" applyProtection="1">
      <alignment vertical="center"/>
    </xf>
    <xf numFmtId="166" fontId="6" fillId="0" borderId="0" xfId="0" applyNumberFormat="1" applyFont="1" applyBorder="1" applyProtection="1"/>
    <xf numFmtId="166" fontId="6" fillId="0" borderId="6" xfId="0" applyNumberFormat="1" applyFont="1" applyBorder="1" applyProtection="1"/>
    <xf numFmtId="0" fontId="3" fillId="0" borderId="0" xfId="0" applyFont="1" applyBorder="1" applyProtection="1"/>
    <xf numFmtId="166" fontId="6" fillId="5" borderId="0" xfId="0" applyNumberFormat="1" applyFont="1" applyFill="1" applyBorder="1" applyProtection="1"/>
    <xf numFmtId="165" fontId="6" fillId="0" borderId="0" xfId="3" applyNumberFormat="1" applyFont="1" applyBorder="1" applyAlignment="1" applyProtection="1">
      <alignment vertical="center"/>
    </xf>
    <xf numFmtId="165" fontId="6" fillId="0" borderId="6" xfId="3" applyNumberFormat="1" applyFont="1" applyBorder="1" applyAlignment="1" applyProtection="1">
      <alignment vertical="center"/>
    </xf>
    <xf numFmtId="166" fontId="5" fillId="0" borderId="0" xfId="3" applyNumberFormat="1" applyFont="1" applyFill="1" applyBorder="1" applyAlignment="1" applyProtection="1">
      <alignment vertical="center"/>
    </xf>
    <xf numFmtId="167" fontId="5" fillId="0" borderId="0" xfId="4" applyNumberFormat="1" applyFont="1" applyFill="1" applyBorder="1" applyAlignment="1" applyProtection="1">
      <alignment vertical="center"/>
    </xf>
    <xf numFmtId="167" fontId="5" fillId="0" borderId="6" xfId="4" applyNumberFormat="1" applyFont="1" applyFill="1" applyBorder="1" applyAlignment="1" applyProtection="1">
      <alignment vertical="center"/>
    </xf>
    <xf numFmtId="167" fontId="0" fillId="0" borderId="0" xfId="0" applyNumberFormat="1" applyFont="1" applyBorder="1" applyProtection="1"/>
    <xf numFmtId="167" fontId="0" fillId="0" borderId="6" xfId="0" applyNumberFormat="1" applyFont="1" applyBorder="1" applyProtection="1"/>
    <xf numFmtId="0" fontId="0" fillId="5" borderId="0" xfId="0" applyFont="1" applyFill="1" applyBorder="1" applyProtection="1"/>
    <xf numFmtId="169" fontId="0" fillId="0" borderId="0" xfId="0" applyNumberFormat="1" applyFont="1" applyBorder="1" applyProtection="1"/>
    <xf numFmtId="169" fontId="0" fillId="0" borderId="6" xfId="0" applyNumberFormat="1" applyFont="1" applyBorder="1" applyProtection="1"/>
    <xf numFmtId="167" fontId="0" fillId="0" borderId="0" xfId="2" applyNumberFormat="1" applyFont="1" applyBorder="1" applyProtection="1"/>
    <xf numFmtId="167" fontId="0" fillId="0" borderId="6" xfId="2" applyNumberFormat="1" applyFont="1" applyBorder="1" applyProtection="1"/>
    <xf numFmtId="169" fontId="0" fillId="5" borderId="0" xfId="0" applyNumberFormat="1" applyFont="1" applyFill="1" applyBorder="1" applyProtection="1"/>
    <xf numFmtId="167" fontId="0" fillId="0" borderId="8" xfId="2" applyNumberFormat="1" applyFont="1" applyBorder="1" applyProtection="1"/>
    <xf numFmtId="167" fontId="0" fillId="0" borderId="9" xfId="2" applyNumberFormat="1" applyFont="1" applyBorder="1" applyProtection="1"/>
    <xf numFmtId="0" fontId="0" fillId="0" borderId="8" xfId="0" applyFont="1" applyFill="1" applyBorder="1" applyProtection="1"/>
    <xf numFmtId="0" fontId="0" fillId="0" borderId="9" xfId="0" applyFont="1" applyBorder="1" applyProtection="1"/>
    <xf numFmtId="0" fontId="7" fillId="5" borderId="0" xfId="0" applyFont="1" applyFill="1" applyAlignment="1" applyProtection="1">
      <alignment horizontal="left" vertical="center"/>
    </xf>
    <xf numFmtId="0" fontId="7" fillId="1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2" xfId="3" applyFont="1" applyFill="1" applyBorder="1" applyAlignment="1" applyProtection="1">
      <alignment vertical="center"/>
    </xf>
    <xf numFmtId="0" fontId="2" fillId="2" borderId="3" xfId="3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vertical="center"/>
    </xf>
    <xf numFmtId="167" fontId="4" fillId="5" borderId="0" xfId="2" applyNumberFormat="1" applyFont="1" applyFill="1" applyBorder="1" applyAlignment="1" applyProtection="1">
      <alignment vertical="center"/>
    </xf>
    <xf numFmtId="167" fontId="4" fillId="5" borderId="6" xfId="2" applyNumberFormat="1" applyFont="1" applyFill="1" applyBorder="1" applyAlignment="1" applyProtection="1">
      <alignment vertical="center"/>
    </xf>
    <xf numFmtId="169" fontId="4" fillId="5" borderId="0" xfId="3" applyNumberFormat="1" applyFont="1" applyFill="1" applyBorder="1" applyAlignment="1" applyProtection="1">
      <alignment vertical="center"/>
    </xf>
    <xf numFmtId="169" fontId="4" fillId="5" borderId="6" xfId="3" applyNumberFormat="1" applyFont="1" applyFill="1" applyBorder="1" applyAlignment="1" applyProtection="1">
      <alignment vertical="center"/>
    </xf>
    <xf numFmtId="169" fontId="4" fillId="0" borderId="0" xfId="3" applyNumberFormat="1" applyFont="1" applyFill="1" applyBorder="1" applyAlignment="1" applyProtection="1">
      <alignment vertical="center"/>
    </xf>
    <xf numFmtId="169" fontId="4" fillId="0" borderId="6" xfId="3" applyNumberFormat="1" applyFont="1" applyFill="1" applyBorder="1" applyAlignment="1" applyProtection="1">
      <alignment vertical="center"/>
    </xf>
    <xf numFmtId="0" fontId="4" fillId="0" borderId="6" xfId="3" applyFont="1" applyBorder="1" applyAlignment="1" applyProtection="1">
      <alignment vertical="center"/>
    </xf>
    <xf numFmtId="0" fontId="5" fillId="0" borderId="6" xfId="3" applyFont="1" applyFill="1" applyBorder="1" applyAlignment="1" applyProtection="1">
      <alignment vertical="center"/>
    </xf>
    <xf numFmtId="43" fontId="6" fillId="0" borderId="5" xfId="1" applyFont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0" fontId="6" fillId="0" borderId="6" xfId="3" applyFont="1" applyFill="1" applyBorder="1" applyAlignment="1" applyProtection="1">
      <alignment vertical="center"/>
    </xf>
    <xf numFmtId="0" fontId="0" fillId="0" borderId="5" xfId="3" applyFont="1" applyBorder="1" applyAlignment="1" applyProtection="1">
      <alignment vertical="center"/>
    </xf>
    <xf numFmtId="0" fontId="0" fillId="0" borderId="5" xfId="3" applyFont="1" applyFill="1" applyBorder="1" applyAlignment="1" applyProtection="1">
      <alignment vertical="center"/>
    </xf>
    <xf numFmtId="0" fontId="6" fillId="0" borderId="6" xfId="3" applyFont="1" applyBorder="1" applyAlignment="1" applyProtection="1">
      <alignment vertical="center"/>
    </xf>
    <xf numFmtId="0" fontId="5" fillId="0" borderId="6" xfId="3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9" fontId="8" fillId="0" borderId="0" xfId="2" applyFont="1" applyBorder="1" applyAlignment="1" applyProtection="1">
      <alignment vertical="center"/>
    </xf>
    <xf numFmtId="9" fontId="8" fillId="0" borderId="6" xfId="2" applyFont="1" applyBorder="1" applyAlignment="1" applyProtection="1">
      <alignment vertical="center"/>
    </xf>
    <xf numFmtId="167" fontId="0" fillId="0" borderId="0" xfId="0" applyNumberFormat="1" applyFont="1" applyBorder="1" applyAlignment="1" applyProtection="1">
      <alignment vertical="center"/>
    </xf>
    <xf numFmtId="167" fontId="0" fillId="0" borderId="6" xfId="0" applyNumberFormat="1" applyFont="1" applyBorder="1" applyAlignment="1" applyProtection="1">
      <alignment vertical="center"/>
    </xf>
    <xf numFmtId="169" fontId="0" fillId="0" borderId="0" xfId="0" applyNumberFormat="1" applyFont="1" applyBorder="1" applyAlignment="1" applyProtection="1">
      <alignment vertical="center"/>
    </xf>
    <xf numFmtId="169" fontId="0" fillId="0" borderId="6" xfId="0" applyNumberFormat="1" applyFont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166" fontId="0" fillId="0" borderId="6" xfId="0" applyNumberFormat="1" applyFont="1" applyBorder="1" applyAlignment="1" applyProtection="1">
      <alignment vertical="center"/>
    </xf>
    <xf numFmtId="167" fontId="0" fillId="0" borderId="0" xfId="2" applyNumberFormat="1" applyFont="1" applyBorder="1" applyAlignment="1" applyProtection="1">
      <alignment vertical="center"/>
    </xf>
    <xf numFmtId="167" fontId="0" fillId="0" borderId="6" xfId="2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7" fontId="0" fillId="0" borderId="8" xfId="2" applyNumberFormat="1" applyFont="1" applyBorder="1" applyAlignment="1" applyProtection="1">
      <alignment vertical="center"/>
    </xf>
    <xf numFmtId="167" fontId="0" fillId="0" borderId="9" xfId="2" applyNumberFormat="1" applyFont="1" applyBorder="1" applyAlignment="1" applyProtection="1">
      <alignment vertical="center"/>
    </xf>
    <xf numFmtId="0" fontId="9" fillId="7" borderId="11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vertical="center" wrapText="1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7" fillId="5" borderId="0" xfId="0" applyFont="1" applyFill="1" applyAlignment="1" applyProtection="1">
      <alignment horizontal="left"/>
    </xf>
    <xf numFmtId="0" fontId="0" fillId="9" borderId="3" xfId="0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center"/>
    </xf>
    <xf numFmtId="0" fontId="0" fillId="8" borderId="3" xfId="0" applyFont="1" applyFill="1" applyBorder="1" applyAlignment="1" applyProtection="1">
      <alignment horizontal="center"/>
    </xf>
    <xf numFmtId="0" fontId="0" fillId="8" borderId="4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left" vertical="center" wrapText="1"/>
    </xf>
    <xf numFmtId="0" fontId="9" fillId="7" borderId="3" xfId="0" applyFont="1" applyFill="1" applyBorder="1" applyAlignment="1" applyProtection="1">
      <alignment horizontal="left" vertical="center" wrapText="1"/>
    </xf>
    <xf numFmtId="0" fontId="0" fillId="8" borderId="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left" vertical="center" wrapText="1"/>
    </xf>
    <xf numFmtId="0" fontId="9" fillId="7" borderId="12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Normal" xfId="0" builtinId="0"/>
    <cellStyle name="Normal 2" xfId="3" xr:uid="{A07FD19F-0CD5-45B1-BE18-8F56456E0394}"/>
    <cellStyle name="Percent" xfId="2" builtinId="5"/>
    <cellStyle name="Percent 2" xfId="4" xr:uid="{B44909A0-B1F0-4652-8E82-6DE7FD22A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38100</xdr:rowOff>
    </xdr:from>
    <xdr:to>
      <xdr:col>4</xdr:col>
      <xdr:colOff>804522</xdr:colOff>
      <xdr:row>2</xdr:row>
      <xdr:rowOff>580957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37F52E-C3D5-43E9-BE39-6158DCAE3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457200"/>
          <a:ext cx="2728572" cy="5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26</xdr:row>
      <xdr:rowOff>114300</xdr:rowOff>
    </xdr:from>
    <xdr:to>
      <xdr:col>1</xdr:col>
      <xdr:colOff>2116800</xdr:colOff>
      <xdr:row>26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F867B07-753C-4CCF-84D8-901FAA410F6C}"/>
            </a:ext>
          </a:extLst>
        </xdr:cNvPr>
        <xdr:cNvCxnSpPr/>
      </xdr:nvCxnSpPr>
      <xdr:spPr>
        <a:xfrm>
          <a:off x="2019300" y="5724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30</xdr:row>
      <xdr:rowOff>114300</xdr:rowOff>
    </xdr:from>
    <xdr:to>
      <xdr:col>1</xdr:col>
      <xdr:colOff>2097750</xdr:colOff>
      <xdr:row>30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13EB77-E4ED-4492-9B57-6364DB0C2C1C}"/>
            </a:ext>
          </a:extLst>
        </xdr:cNvPr>
        <xdr:cNvCxnSpPr/>
      </xdr:nvCxnSpPr>
      <xdr:spPr>
        <a:xfrm>
          <a:off x="2000250" y="6486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31</xdr:row>
      <xdr:rowOff>114300</xdr:rowOff>
    </xdr:from>
    <xdr:to>
      <xdr:col>1</xdr:col>
      <xdr:colOff>2097750</xdr:colOff>
      <xdr:row>31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EA0C420-750B-4DCE-880C-3E26C4C2148A}"/>
            </a:ext>
          </a:extLst>
        </xdr:cNvPr>
        <xdr:cNvCxnSpPr/>
      </xdr:nvCxnSpPr>
      <xdr:spPr>
        <a:xfrm>
          <a:off x="2000250" y="6677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32</xdr:row>
      <xdr:rowOff>114300</xdr:rowOff>
    </xdr:from>
    <xdr:to>
      <xdr:col>1</xdr:col>
      <xdr:colOff>2097750</xdr:colOff>
      <xdr:row>32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0A254DE-19A3-4ECF-9054-22EEE7013DBE}"/>
            </a:ext>
          </a:extLst>
        </xdr:cNvPr>
        <xdr:cNvCxnSpPr/>
      </xdr:nvCxnSpPr>
      <xdr:spPr>
        <a:xfrm>
          <a:off x="2000250" y="686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33</xdr:row>
      <xdr:rowOff>114300</xdr:rowOff>
    </xdr:from>
    <xdr:to>
      <xdr:col>1</xdr:col>
      <xdr:colOff>2097750</xdr:colOff>
      <xdr:row>33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75E5D9-620E-4B63-B397-ACC04A42264F}"/>
            </a:ext>
          </a:extLst>
        </xdr:cNvPr>
        <xdr:cNvCxnSpPr/>
      </xdr:nvCxnSpPr>
      <xdr:spPr>
        <a:xfrm>
          <a:off x="2000250" y="705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34</xdr:row>
      <xdr:rowOff>114300</xdr:rowOff>
    </xdr:from>
    <xdr:to>
      <xdr:col>1</xdr:col>
      <xdr:colOff>2097750</xdr:colOff>
      <xdr:row>34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6930E38-9BA2-4C4E-8AF7-4AEF25C2542A}"/>
            </a:ext>
          </a:extLst>
        </xdr:cNvPr>
        <xdr:cNvCxnSpPr/>
      </xdr:nvCxnSpPr>
      <xdr:spPr>
        <a:xfrm>
          <a:off x="2000250" y="724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42</xdr:row>
      <xdr:rowOff>114300</xdr:rowOff>
    </xdr:from>
    <xdr:to>
      <xdr:col>1</xdr:col>
      <xdr:colOff>2107275</xdr:colOff>
      <xdr:row>42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BC3597B-EA37-4E6F-9A02-F4EAFF56638F}"/>
            </a:ext>
          </a:extLst>
        </xdr:cNvPr>
        <xdr:cNvCxnSpPr/>
      </xdr:nvCxnSpPr>
      <xdr:spPr>
        <a:xfrm>
          <a:off x="2009775" y="8772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43</xdr:row>
      <xdr:rowOff>114300</xdr:rowOff>
    </xdr:from>
    <xdr:to>
      <xdr:col>1</xdr:col>
      <xdr:colOff>2107275</xdr:colOff>
      <xdr:row>43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491658D-F9DD-4C39-B0F2-731C41628940}"/>
            </a:ext>
          </a:extLst>
        </xdr:cNvPr>
        <xdr:cNvCxnSpPr/>
      </xdr:nvCxnSpPr>
      <xdr:spPr>
        <a:xfrm>
          <a:off x="2009775" y="8963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44</xdr:row>
      <xdr:rowOff>114300</xdr:rowOff>
    </xdr:from>
    <xdr:to>
      <xdr:col>1</xdr:col>
      <xdr:colOff>2107275</xdr:colOff>
      <xdr:row>44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10ECC92-9F95-430F-95A8-53481DDAFA3F}"/>
            </a:ext>
          </a:extLst>
        </xdr:cNvPr>
        <xdr:cNvCxnSpPr/>
      </xdr:nvCxnSpPr>
      <xdr:spPr>
        <a:xfrm>
          <a:off x="2009775" y="9153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45</xdr:row>
      <xdr:rowOff>114300</xdr:rowOff>
    </xdr:from>
    <xdr:to>
      <xdr:col>1</xdr:col>
      <xdr:colOff>2107275</xdr:colOff>
      <xdr:row>45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61D8FE3-82B1-4022-A658-B0469A1D2D40}"/>
            </a:ext>
          </a:extLst>
        </xdr:cNvPr>
        <xdr:cNvCxnSpPr/>
      </xdr:nvCxnSpPr>
      <xdr:spPr>
        <a:xfrm>
          <a:off x="2009775" y="9344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46</xdr:row>
      <xdr:rowOff>114300</xdr:rowOff>
    </xdr:from>
    <xdr:to>
      <xdr:col>1</xdr:col>
      <xdr:colOff>2107275</xdr:colOff>
      <xdr:row>46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2DD4A0-33E5-4FAD-BC38-7C1EAA38B67B}"/>
            </a:ext>
          </a:extLst>
        </xdr:cNvPr>
        <xdr:cNvCxnSpPr/>
      </xdr:nvCxnSpPr>
      <xdr:spPr>
        <a:xfrm>
          <a:off x="2009775" y="9534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52</xdr:row>
      <xdr:rowOff>114300</xdr:rowOff>
    </xdr:from>
    <xdr:to>
      <xdr:col>1</xdr:col>
      <xdr:colOff>2107275</xdr:colOff>
      <xdr:row>52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C7C3D0F-2EF3-4EDE-B0AC-2C73429F387B}"/>
            </a:ext>
          </a:extLst>
        </xdr:cNvPr>
        <xdr:cNvCxnSpPr/>
      </xdr:nvCxnSpPr>
      <xdr:spPr>
        <a:xfrm>
          <a:off x="2009775" y="10677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53</xdr:row>
      <xdr:rowOff>114300</xdr:rowOff>
    </xdr:from>
    <xdr:to>
      <xdr:col>1</xdr:col>
      <xdr:colOff>2107275</xdr:colOff>
      <xdr:row>53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6109A54-BFFA-46B9-A7EF-589573374E18}"/>
            </a:ext>
          </a:extLst>
        </xdr:cNvPr>
        <xdr:cNvCxnSpPr/>
      </xdr:nvCxnSpPr>
      <xdr:spPr>
        <a:xfrm>
          <a:off x="2009775" y="10868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54</xdr:row>
      <xdr:rowOff>114300</xdr:rowOff>
    </xdr:from>
    <xdr:to>
      <xdr:col>1</xdr:col>
      <xdr:colOff>2107275</xdr:colOff>
      <xdr:row>54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B957C18-FD31-427F-AB99-EE303708A96F}"/>
            </a:ext>
          </a:extLst>
        </xdr:cNvPr>
        <xdr:cNvCxnSpPr/>
      </xdr:nvCxnSpPr>
      <xdr:spPr>
        <a:xfrm>
          <a:off x="2009775" y="11058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1647825</xdr:colOff>
      <xdr:row>12</xdr:row>
      <xdr:rowOff>104775</xdr:rowOff>
    </xdr:from>
    <xdr:to>
      <xdr:col>1</xdr:col>
      <xdr:colOff>2124075</xdr:colOff>
      <xdr:row>12</xdr:row>
      <xdr:rowOff>104775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8766289F-863D-47B3-A598-EFB9D7FDCC0C}"/>
            </a:ext>
          </a:extLst>
        </xdr:cNvPr>
        <xdr:cNvCxnSpPr/>
      </xdr:nvCxnSpPr>
      <xdr:spPr>
        <a:xfrm>
          <a:off x="1838325" y="2857500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1647825</xdr:colOff>
      <xdr:row>13</xdr:row>
      <xdr:rowOff>95250</xdr:rowOff>
    </xdr:from>
    <xdr:to>
      <xdr:col>1</xdr:col>
      <xdr:colOff>2124075</xdr:colOff>
      <xdr:row>13</xdr:row>
      <xdr:rowOff>95250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35517E8-C075-4A87-9A1E-D5DE91F23C4C}"/>
            </a:ext>
          </a:extLst>
        </xdr:cNvPr>
        <xdr:cNvCxnSpPr/>
      </xdr:nvCxnSpPr>
      <xdr:spPr>
        <a:xfrm>
          <a:off x="1838325" y="3038475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1819275</xdr:colOff>
      <xdr:row>38</xdr:row>
      <xdr:rowOff>114300</xdr:rowOff>
    </xdr:from>
    <xdr:to>
      <xdr:col>1</xdr:col>
      <xdr:colOff>2107275</xdr:colOff>
      <xdr:row>38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61238C0-4D55-43A9-A39C-6F3D431915F7}"/>
            </a:ext>
          </a:extLst>
        </xdr:cNvPr>
        <xdr:cNvCxnSpPr/>
      </xdr:nvCxnSpPr>
      <xdr:spPr>
        <a:xfrm>
          <a:off x="2009775" y="8010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35</xdr:row>
      <xdr:rowOff>114300</xdr:rowOff>
    </xdr:from>
    <xdr:to>
      <xdr:col>1</xdr:col>
      <xdr:colOff>2097750</xdr:colOff>
      <xdr:row>35</xdr:row>
      <xdr:rowOff>114300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85BEAD0-2ED4-4E90-8A5E-E3FC1DB10071}"/>
            </a:ext>
          </a:extLst>
        </xdr:cNvPr>
        <xdr:cNvCxnSpPr/>
      </xdr:nvCxnSpPr>
      <xdr:spPr>
        <a:xfrm>
          <a:off x="2000250" y="7439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36</xdr:row>
      <xdr:rowOff>114300</xdr:rowOff>
    </xdr:from>
    <xdr:to>
      <xdr:col>1</xdr:col>
      <xdr:colOff>2097750</xdr:colOff>
      <xdr:row>36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BF92832-D0B5-4545-ABFD-AA9531C8406D}"/>
            </a:ext>
          </a:extLst>
        </xdr:cNvPr>
        <xdr:cNvCxnSpPr/>
      </xdr:nvCxnSpPr>
      <xdr:spPr>
        <a:xfrm>
          <a:off x="2000250" y="76295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1809750</xdr:colOff>
      <xdr:row>37</xdr:row>
      <xdr:rowOff>114300</xdr:rowOff>
    </xdr:from>
    <xdr:to>
      <xdr:col>1</xdr:col>
      <xdr:colOff>2097750</xdr:colOff>
      <xdr:row>37</xdr:row>
      <xdr:rowOff>114300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CB1EC53E-00D1-44CE-A3B6-97A0E0468316}"/>
            </a:ext>
          </a:extLst>
        </xdr:cNvPr>
        <xdr:cNvCxnSpPr/>
      </xdr:nvCxnSpPr>
      <xdr:spPr>
        <a:xfrm>
          <a:off x="2000250" y="7820025"/>
          <a:ext cx="28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1647825</xdr:colOff>
      <xdr:row>18</xdr:row>
      <xdr:rowOff>104775</xdr:rowOff>
    </xdr:from>
    <xdr:to>
      <xdr:col>1</xdr:col>
      <xdr:colOff>2124075</xdr:colOff>
      <xdr:row>18</xdr:row>
      <xdr:rowOff>104775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D212F439-CCAE-4DFB-8845-E8C134353180}"/>
            </a:ext>
          </a:extLst>
        </xdr:cNvPr>
        <xdr:cNvCxnSpPr/>
      </xdr:nvCxnSpPr>
      <xdr:spPr>
        <a:xfrm>
          <a:off x="1838325" y="4000500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1647825</xdr:colOff>
      <xdr:row>19</xdr:row>
      <xdr:rowOff>95250</xdr:rowOff>
    </xdr:from>
    <xdr:to>
      <xdr:col>1</xdr:col>
      <xdr:colOff>2124075</xdr:colOff>
      <xdr:row>19</xdr:row>
      <xdr:rowOff>95250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A6F369C-2A09-4C61-8315-6F49D0A768B0}"/>
            </a:ext>
          </a:extLst>
        </xdr:cNvPr>
        <xdr:cNvCxnSpPr/>
      </xdr:nvCxnSpPr>
      <xdr:spPr>
        <a:xfrm>
          <a:off x="1838325" y="4181475"/>
          <a:ext cx="476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133350</xdr:colOff>
      <xdr:row>2</xdr:row>
      <xdr:rowOff>66675</xdr:rowOff>
    </xdr:from>
    <xdr:to>
      <xdr:col>7</xdr:col>
      <xdr:colOff>90147</xdr:colOff>
      <xdr:row>2</xdr:row>
      <xdr:rowOff>609532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6EB9D36E-0DE2-434F-B6A7-D9415E8F0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85775"/>
          <a:ext cx="2728572" cy="5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</xdr:row>
      <xdr:rowOff>85725</xdr:rowOff>
    </xdr:from>
    <xdr:to>
      <xdr:col>6</xdr:col>
      <xdr:colOff>452097</xdr:colOff>
      <xdr:row>3</xdr:row>
      <xdr:rowOff>9457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2AB227-A006-4E09-BD78-39847342F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9425" y="504825"/>
          <a:ext cx="2728572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123857</xdr:colOff>
      <xdr:row>2</xdr:row>
      <xdr:rowOff>57161</xdr:rowOff>
    </xdr:from>
    <xdr:to>
      <xdr:col>6</xdr:col>
      <xdr:colOff>118754</xdr:colOff>
      <xdr:row>2</xdr:row>
      <xdr:rowOff>600018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3B195B-104C-4B4F-B16B-0F7952F09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32" y="476261"/>
          <a:ext cx="2728572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8AF2-51F1-496E-95F8-32093ECBEC27}">
  <sheetPr>
    <tabColor theme="1"/>
  </sheetPr>
  <dimension ref="B1:L30"/>
  <sheetViews>
    <sheetView showGridLines="0" tabSelected="1" zoomScaleNormal="100" workbookViewId="0"/>
  </sheetViews>
  <sheetFormatPr defaultRowHeight="15" x14ac:dyDescent="0.25"/>
  <cols>
    <col min="1" max="1" width="4.7109375" customWidth="1"/>
  </cols>
  <sheetData>
    <row r="1" spans="2:12" ht="15.75" thickBot="1" x14ac:dyDescent="0.3"/>
    <row r="2" spans="2:12" x14ac:dyDescent="0.25">
      <c r="B2" s="9" t="s">
        <v>70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x14ac:dyDescent="0.25">
      <c r="B3" s="12" t="s">
        <v>150</v>
      </c>
      <c r="C3" s="6"/>
      <c r="D3" s="6"/>
      <c r="E3" s="6"/>
      <c r="F3" s="6"/>
      <c r="G3" s="6"/>
      <c r="H3" s="6"/>
      <c r="I3" s="6"/>
      <c r="J3" s="6"/>
      <c r="K3" s="6"/>
      <c r="L3" s="13"/>
    </row>
    <row r="4" spans="2:12" x14ac:dyDescent="0.25">
      <c r="B4" s="12" t="s">
        <v>71</v>
      </c>
      <c r="C4" s="6"/>
      <c r="D4" s="6"/>
      <c r="E4" s="6"/>
      <c r="F4" s="6"/>
      <c r="G4" s="6"/>
      <c r="H4" s="6"/>
      <c r="I4" s="6"/>
      <c r="J4" s="6"/>
      <c r="K4" s="6"/>
      <c r="L4" s="13"/>
    </row>
    <row r="5" spans="2:12" x14ac:dyDescent="0.25">
      <c r="B5" s="12" t="s">
        <v>72</v>
      </c>
      <c r="C5" s="6"/>
      <c r="D5" s="6"/>
      <c r="E5" s="6"/>
      <c r="F5" s="6"/>
      <c r="G5" s="6"/>
      <c r="H5" s="6"/>
      <c r="I5" s="6"/>
      <c r="J5" s="6"/>
      <c r="K5" s="6"/>
      <c r="L5" s="13"/>
    </row>
    <row r="6" spans="2:12" x14ac:dyDescent="0.25">
      <c r="B6" s="12" t="s">
        <v>106</v>
      </c>
      <c r="C6" s="6"/>
      <c r="D6" s="6"/>
      <c r="E6" s="6"/>
      <c r="F6" s="6"/>
      <c r="G6" s="6"/>
      <c r="H6" s="6"/>
      <c r="I6" s="6"/>
      <c r="J6" s="6"/>
      <c r="K6" s="6"/>
      <c r="L6" s="13"/>
    </row>
    <row r="7" spans="2:12" x14ac:dyDescent="0.25">
      <c r="B7" s="12" t="s">
        <v>107</v>
      </c>
      <c r="C7" s="6"/>
      <c r="D7" s="6"/>
      <c r="E7" s="6"/>
      <c r="F7" s="6"/>
      <c r="G7" s="6"/>
      <c r="H7" s="6"/>
      <c r="I7" s="6"/>
      <c r="J7" s="6"/>
      <c r="K7" s="6"/>
      <c r="L7" s="13"/>
    </row>
    <row r="8" spans="2:12" x14ac:dyDescent="0.25">
      <c r="B8" s="12"/>
      <c r="C8" s="6"/>
      <c r="D8" s="6"/>
      <c r="E8" s="6"/>
      <c r="F8" s="6"/>
      <c r="G8" s="6"/>
      <c r="H8" s="6"/>
      <c r="I8" s="6"/>
      <c r="J8" s="6"/>
      <c r="K8" s="6"/>
      <c r="L8" s="13"/>
    </row>
    <row r="9" spans="2:12" x14ac:dyDescent="0.25">
      <c r="B9" s="14" t="s">
        <v>73</v>
      </c>
      <c r="C9" s="6"/>
      <c r="D9" s="6"/>
      <c r="E9" s="6"/>
      <c r="F9" s="6"/>
      <c r="G9" s="6"/>
      <c r="H9" s="6"/>
      <c r="I9" s="6"/>
      <c r="J9" s="6"/>
      <c r="K9" s="6"/>
      <c r="L9" s="13"/>
    </row>
    <row r="10" spans="2:12" x14ac:dyDescent="0.25">
      <c r="B10" s="12" t="s">
        <v>74</v>
      </c>
      <c r="C10" s="6"/>
      <c r="D10" s="6"/>
      <c r="E10" s="6"/>
      <c r="F10" s="6"/>
      <c r="G10" s="6"/>
      <c r="H10" s="6"/>
      <c r="I10" s="6"/>
      <c r="J10" s="6"/>
      <c r="K10" s="6"/>
      <c r="L10" s="13"/>
    </row>
    <row r="11" spans="2:12" x14ac:dyDescent="0.25">
      <c r="B11" s="12" t="s">
        <v>75</v>
      </c>
      <c r="C11" s="6"/>
      <c r="D11" s="6"/>
      <c r="E11" s="6"/>
      <c r="F11" s="6"/>
      <c r="G11" s="6"/>
      <c r="H11" s="6"/>
      <c r="I11" s="6"/>
      <c r="J11" s="6"/>
      <c r="K11" s="6"/>
      <c r="L11" s="13"/>
    </row>
    <row r="12" spans="2:12" x14ac:dyDescent="0.25">
      <c r="B12" s="12" t="s">
        <v>77</v>
      </c>
      <c r="C12" s="6"/>
      <c r="D12" s="6"/>
      <c r="E12" s="6"/>
      <c r="F12" s="6"/>
      <c r="G12" s="6"/>
      <c r="H12" s="6"/>
      <c r="I12" s="6"/>
      <c r="J12" s="6"/>
      <c r="K12" s="6"/>
      <c r="L12" s="13"/>
    </row>
    <row r="13" spans="2:12" x14ac:dyDescent="0.25">
      <c r="B13" s="12"/>
      <c r="C13" s="6"/>
      <c r="D13" s="6"/>
      <c r="E13" s="6"/>
      <c r="F13" s="6"/>
      <c r="G13" s="6"/>
      <c r="H13" s="6"/>
      <c r="I13" s="6"/>
      <c r="J13" s="6"/>
      <c r="K13" s="6"/>
      <c r="L13" s="13"/>
    </row>
    <row r="14" spans="2:12" x14ac:dyDescent="0.25">
      <c r="B14" s="14" t="s">
        <v>78</v>
      </c>
      <c r="C14" s="6"/>
      <c r="D14" s="6"/>
      <c r="E14" s="6"/>
      <c r="F14" s="6"/>
      <c r="G14" s="6"/>
      <c r="H14" s="6"/>
      <c r="I14" s="6"/>
      <c r="J14" s="6"/>
      <c r="K14" s="6"/>
      <c r="L14" s="13"/>
    </row>
    <row r="15" spans="2:12" x14ac:dyDescent="0.25">
      <c r="B15" s="12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13"/>
    </row>
    <row r="16" spans="2:12" x14ac:dyDescent="0.25">
      <c r="B16" s="12" t="s">
        <v>108</v>
      </c>
      <c r="C16" s="6"/>
      <c r="D16" s="6"/>
      <c r="E16" s="6"/>
      <c r="F16" s="6"/>
      <c r="G16" s="6"/>
      <c r="H16" s="6"/>
      <c r="I16" s="6"/>
      <c r="J16" s="6"/>
      <c r="K16" s="6"/>
      <c r="L16" s="13"/>
    </row>
    <row r="17" spans="2:12" x14ac:dyDescent="0.25">
      <c r="B17" s="12" t="s">
        <v>79</v>
      </c>
      <c r="C17" s="6"/>
      <c r="D17" s="6"/>
      <c r="E17" s="6"/>
      <c r="F17" s="6"/>
      <c r="G17" s="6"/>
      <c r="H17" s="6"/>
      <c r="I17" s="6"/>
      <c r="J17" s="6"/>
      <c r="K17" s="6"/>
      <c r="L17" s="13"/>
    </row>
    <row r="18" spans="2:12" x14ac:dyDescent="0.25">
      <c r="B18" s="12"/>
      <c r="C18" s="6"/>
      <c r="D18" s="6"/>
      <c r="E18" s="6"/>
      <c r="F18" s="6"/>
      <c r="G18" s="6"/>
      <c r="H18" s="6"/>
      <c r="I18" s="6"/>
      <c r="J18" s="6"/>
      <c r="K18" s="6"/>
      <c r="L18" s="13"/>
    </row>
    <row r="19" spans="2:12" x14ac:dyDescent="0.25">
      <c r="B19" s="14" t="s">
        <v>105</v>
      </c>
      <c r="C19" s="6"/>
      <c r="D19" s="6"/>
      <c r="E19" s="6"/>
      <c r="F19" s="6"/>
      <c r="G19" s="6"/>
      <c r="H19" s="6"/>
      <c r="I19" s="6"/>
      <c r="J19" s="6"/>
      <c r="K19" s="6"/>
      <c r="L19" s="13"/>
    </row>
    <row r="20" spans="2:12" x14ac:dyDescent="0.25">
      <c r="B20" s="12" t="s">
        <v>74</v>
      </c>
      <c r="C20" s="6"/>
      <c r="D20" s="6"/>
      <c r="E20" s="6"/>
      <c r="F20" s="6"/>
      <c r="G20" s="6"/>
      <c r="H20" s="6"/>
      <c r="I20" s="6"/>
      <c r="J20" s="6"/>
      <c r="K20" s="6"/>
      <c r="L20" s="13"/>
    </row>
    <row r="21" spans="2:12" x14ac:dyDescent="0.25">
      <c r="B21" s="12" t="s">
        <v>80</v>
      </c>
      <c r="C21" s="6"/>
      <c r="D21" s="6"/>
      <c r="E21" s="6"/>
      <c r="F21" s="6"/>
      <c r="G21" s="6"/>
      <c r="H21" s="6"/>
      <c r="I21" s="6"/>
      <c r="J21" s="6"/>
      <c r="K21" s="6"/>
      <c r="L21" s="13"/>
    </row>
    <row r="22" spans="2:12" x14ac:dyDescent="0.25">
      <c r="B22" s="12" t="s">
        <v>81</v>
      </c>
      <c r="C22" s="6"/>
      <c r="D22" s="6"/>
      <c r="E22" s="6"/>
      <c r="F22" s="6"/>
      <c r="G22" s="6"/>
      <c r="H22" s="6"/>
      <c r="I22" s="6"/>
      <c r="J22" s="6"/>
      <c r="K22" s="6"/>
      <c r="L22" s="13"/>
    </row>
    <row r="23" spans="2:12" x14ac:dyDescent="0.25">
      <c r="B23" s="12" t="s">
        <v>109</v>
      </c>
      <c r="C23" s="6"/>
      <c r="D23" s="6"/>
      <c r="E23" s="6"/>
      <c r="F23" s="6"/>
      <c r="G23" s="6"/>
      <c r="H23" s="6"/>
      <c r="I23" s="6"/>
      <c r="J23" s="6"/>
      <c r="K23" s="6"/>
      <c r="L23" s="13"/>
    </row>
    <row r="24" spans="2:12" x14ac:dyDescent="0.25">
      <c r="B24" s="12"/>
      <c r="C24" s="6"/>
      <c r="D24" s="6"/>
      <c r="E24" s="6"/>
      <c r="F24" s="6"/>
      <c r="G24" s="6"/>
      <c r="H24" s="6"/>
      <c r="I24" s="6"/>
      <c r="J24" s="6"/>
      <c r="K24" s="6"/>
      <c r="L24" s="13"/>
    </row>
    <row r="25" spans="2:12" s="4" customFormat="1" x14ac:dyDescent="0.25">
      <c r="B25" s="14" t="s">
        <v>82</v>
      </c>
      <c r="C25" s="6"/>
      <c r="D25" s="6"/>
      <c r="E25" s="6"/>
      <c r="F25" s="6"/>
      <c r="G25" s="6"/>
      <c r="H25" s="6"/>
      <c r="I25" s="6"/>
      <c r="J25" s="6"/>
      <c r="K25" s="6"/>
      <c r="L25" s="13"/>
    </row>
    <row r="26" spans="2:12" x14ac:dyDescent="0.25">
      <c r="B26" s="12" t="s">
        <v>74</v>
      </c>
      <c r="C26" s="6"/>
      <c r="D26" s="6"/>
      <c r="E26" s="6"/>
      <c r="F26" s="6"/>
      <c r="G26" s="6"/>
      <c r="H26" s="6"/>
      <c r="I26" s="6"/>
      <c r="J26" s="6"/>
      <c r="K26" s="6"/>
      <c r="L26" s="13"/>
    </row>
    <row r="27" spans="2:12" x14ac:dyDescent="0.25">
      <c r="B27" s="12" t="s">
        <v>83</v>
      </c>
      <c r="C27" s="6"/>
      <c r="D27" s="6"/>
      <c r="E27" s="6"/>
      <c r="F27" s="6"/>
      <c r="G27" s="6"/>
      <c r="H27" s="6"/>
      <c r="I27" s="6"/>
      <c r="J27" s="6"/>
      <c r="K27" s="6"/>
      <c r="L27" s="13"/>
    </row>
    <row r="28" spans="2:12" x14ac:dyDescent="0.25">
      <c r="B28" s="12" t="s">
        <v>84</v>
      </c>
      <c r="C28" s="6"/>
      <c r="D28" s="6"/>
      <c r="E28" s="6"/>
      <c r="F28" s="6"/>
      <c r="G28" s="6"/>
      <c r="H28" s="6"/>
      <c r="I28" s="6"/>
      <c r="J28" s="6"/>
      <c r="K28" s="6"/>
      <c r="L28" s="13"/>
    </row>
    <row r="29" spans="2:12" x14ac:dyDescent="0.25">
      <c r="B29" s="12"/>
      <c r="C29" s="6"/>
      <c r="D29" s="6"/>
      <c r="E29" s="6"/>
      <c r="F29" s="6"/>
      <c r="G29" s="6"/>
      <c r="H29" s="6"/>
      <c r="I29" s="6"/>
      <c r="J29" s="6"/>
      <c r="K29" s="6"/>
      <c r="L29" s="13"/>
    </row>
    <row r="30" spans="2:12" ht="15.75" thickBot="1" x14ac:dyDescent="0.3">
      <c r="B30" s="198" t="s">
        <v>110</v>
      </c>
      <c r="C30" s="199"/>
      <c r="D30" s="199"/>
      <c r="E30" s="199"/>
      <c r="F30" s="199"/>
      <c r="G30" s="199"/>
      <c r="H30" s="199"/>
      <c r="I30" s="199"/>
      <c r="J30" s="199"/>
      <c r="K30" s="199"/>
      <c r="L30" s="200"/>
    </row>
  </sheetData>
  <mergeCells count="1">
    <mergeCell ref="B30:L30"/>
  </mergeCells>
  <pageMargins left="0.7" right="0.7" top="0.75" bottom="0.75" header="0.3" footer="0.3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FA32-9D36-492F-8279-E2DFD8F0D442}">
  <sheetPr>
    <tabColor theme="5" tint="0.59999389629810485"/>
    <pageSetUpPr fitToPage="1"/>
  </sheetPr>
  <dimension ref="B1:I67"/>
  <sheetViews>
    <sheetView showGridLines="0" zoomScaleNormal="100" workbookViewId="0"/>
  </sheetViews>
  <sheetFormatPr defaultRowHeight="15" x14ac:dyDescent="0.25"/>
  <cols>
    <col min="1" max="1" width="2.140625" style="17" customWidth="1"/>
    <col min="2" max="2" width="52.5703125" style="17" customWidth="1"/>
    <col min="3" max="5" width="15.140625" style="17" customWidth="1"/>
    <col min="6" max="9" width="10.28515625" style="18" customWidth="1"/>
    <col min="10" max="16384" width="9.140625" style="17"/>
  </cols>
  <sheetData>
    <row r="1" spans="2:9" s="150" customFormat="1" ht="17.25" x14ac:dyDescent="0.25">
      <c r="B1" s="148" t="s">
        <v>93</v>
      </c>
      <c r="C1" s="149"/>
      <c r="D1" s="149"/>
      <c r="F1" s="151"/>
      <c r="G1" s="151"/>
      <c r="H1" s="151"/>
      <c r="I1" s="151"/>
    </row>
    <row r="2" spans="2:9" s="150" customFormat="1" ht="15.75" thickBot="1" x14ac:dyDescent="0.3">
      <c r="F2" s="151"/>
      <c r="G2" s="152"/>
      <c r="H2" s="152"/>
      <c r="I2" s="152"/>
    </row>
    <row r="3" spans="2:9" s="150" customFormat="1" ht="48.75" customHeight="1" thickBot="1" x14ac:dyDescent="0.3">
      <c r="B3" s="194" t="s">
        <v>168</v>
      </c>
      <c r="C3" s="195"/>
      <c r="D3" s="195"/>
      <c r="E3" s="196"/>
      <c r="F3" s="151"/>
      <c r="G3" s="151"/>
      <c r="H3" s="151"/>
      <c r="I3" s="151"/>
    </row>
    <row r="4" spans="2:9" s="150" customFormat="1" x14ac:dyDescent="0.25">
      <c r="B4" s="153" t="s">
        <v>8</v>
      </c>
      <c r="C4" s="155" t="s">
        <v>112</v>
      </c>
      <c r="D4" s="156"/>
      <c r="E4" s="157"/>
      <c r="F4" s="151"/>
      <c r="G4" s="151"/>
      <c r="H4" s="151"/>
      <c r="I4" s="151"/>
    </row>
    <row r="5" spans="2:9" s="150" customFormat="1" x14ac:dyDescent="0.25">
      <c r="B5" s="154" t="s">
        <v>111</v>
      </c>
      <c r="C5" s="155">
        <v>15</v>
      </c>
      <c r="D5" s="156"/>
      <c r="E5" s="157"/>
      <c r="F5" s="151"/>
      <c r="G5" s="151"/>
      <c r="H5" s="151"/>
      <c r="I5" s="151"/>
    </row>
    <row r="6" spans="2:9" s="150" customFormat="1" x14ac:dyDescent="0.25">
      <c r="B6" s="154" t="s">
        <v>117</v>
      </c>
      <c r="C6" s="155">
        <v>50</v>
      </c>
      <c r="D6" s="156"/>
      <c r="E6" s="157"/>
      <c r="F6" s="151"/>
      <c r="G6" s="151"/>
      <c r="H6" s="151"/>
      <c r="I6" s="151"/>
    </row>
    <row r="7" spans="2:9" s="150" customFormat="1" x14ac:dyDescent="0.25">
      <c r="B7" s="154" t="s">
        <v>136</v>
      </c>
      <c r="C7" s="155">
        <v>150</v>
      </c>
      <c r="D7" s="156"/>
      <c r="E7" s="157"/>
      <c r="F7" s="151"/>
      <c r="G7" s="151"/>
      <c r="H7" s="151"/>
      <c r="I7" s="151"/>
    </row>
    <row r="8" spans="2:9" s="150" customFormat="1" x14ac:dyDescent="0.25">
      <c r="B8" s="154" t="s">
        <v>76</v>
      </c>
      <c r="C8" s="155">
        <v>2017</v>
      </c>
      <c r="D8" s="156"/>
      <c r="E8" s="157"/>
      <c r="F8" s="151"/>
      <c r="G8" s="151"/>
      <c r="H8" s="151"/>
      <c r="I8" s="151"/>
    </row>
    <row r="9" spans="2:9" s="150" customFormat="1" ht="15.75" thickBot="1" x14ac:dyDescent="0.3">
      <c r="B9" s="158"/>
      <c r="C9" s="159"/>
      <c r="D9" s="159"/>
      <c r="E9" s="160"/>
      <c r="F9" s="151"/>
      <c r="G9" s="151"/>
      <c r="H9" s="151"/>
      <c r="I9" s="151"/>
    </row>
    <row r="10" spans="2:9" s="150" customFormat="1" x14ac:dyDescent="0.25">
      <c r="B10" s="161" t="str">
        <f>C4</f>
        <v>B&amp;B XYZ</v>
      </c>
      <c r="C10" s="162">
        <f>C8</f>
        <v>2017</v>
      </c>
      <c r="D10" s="162">
        <f>C10+1</f>
        <v>2018</v>
      </c>
      <c r="E10" s="163">
        <f>D10+1</f>
        <v>2019</v>
      </c>
      <c r="F10" s="151"/>
      <c r="G10" s="151"/>
      <c r="H10" s="151"/>
      <c r="I10" s="151"/>
    </row>
    <row r="11" spans="2:9" s="150" customFormat="1" x14ac:dyDescent="0.25">
      <c r="B11" s="88" t="s">
        <v>118</v>
      </c>
      <c r="C11" s="164">
        <v>0.63</v>
      </c>
      <c r="D11" s="164">
        <v>0.65</v>
      </c>
      <c r="E11" s="165">
        <v>0.7</v>
      </c>
      <c r="F11" s="151"/>
      <c r="G11" s="151"/>
      <c r="H11" s="151"/>
      <c r="I11" s="151"/>
    </row>
    <row r="12" spans="2:9" s="150" customFormat="1" x14ac:dyDescent="0.25">
      <c r="B12" s="88" t="s">
        <v>119</v>
      </c>
      <c r="C12" s="166">
        <v>80</v>
      </c>
      <c r="D12" s="166">
        <v>85</v>
      </c>
      <c r="E12" s="167">
        <v>90</v>
      </c>
      <c r="F12" s="151"/>
      <c r="G12" s="151"/>
      <c r="H12" s="151"/>
      <c r="I12" s="151"/>
    </row>
    <row r="13" spans="2:9" s="150" customFormat="1" x14ac:dyDescent="0.25">
      <c r="B13" s="88" t="s">
        <v>120</v>
      </c>
      <c r="C13" s="168">
        <f>C12*C11</f>
        <v>50.4</v>
      </c>
      <c r="D13" s="168">
        <f t="shared" ref="D13:E13" si="0">D12*D11</f>
        <v>55.25</v>
      </c>
      <c r="E13" s="169">
        <f t="shared" si="0"/>
        <v>62.999999999999993</v>
      </c>
      <c r="F13" s="151"/>
      <c r="G13" s="151"/>
      <c r="H13" s="151"/>
      <c r="I13" s="151"/>
    </row>
    <row r="14" spans="2:9" s="150" customFormat="1" x14ac:dyDescent="0.25">
      <c r="B14" s="88"/>
      <c r="C14" s="168"/>
      <c r="D14" s="168"/>
      <c r="E14" s="169"/>
      <c r="F14" s="151"/>
      <c r="G14" s="151"/>
      <c r="H14" s="151"/>
      <c r="I14" s="151"/>
    </row>
    <row r="15" spans="2:9" s="150" customFormat="1" x14ac:dyDescent="0.25">
      <c r="B15" s="88" t="s">
        <v>161</v>
      </c>
      <c r="C15" s="164">
        <v>0.35</v>
      </c>
      <c r="D15" s="164">
        <v>0.4</v>
      </c>
      <c r="E15" s="165">
        <v>0.45</v>
      </c>
      <c r="F15" s="151"/>
      <c r="G15" s="151"/>
      <c r="H15" s="151"/>
      <c r="I15" s="151"/>
    </row>
    <row r="16" spans="2:9" s="150" customFormat="1" x14ac:dyDescent="0.25">
      <c r="B16" s="88" t="s">
        <v>162</v>
      </c>
      <c r="C16" s="166">
        <v>20</v>
      </c>
      <c r="D16" s="166">
        <v>21</v>
      </c>
      <c r="E16" s="167">
        <v>21</v>
      </c>
      <c r="F16" s="151"/>
      <c r="G16" s="151"/>
      <c r="H16" s="151"/>
      <c r="I16" s="151"/>
    </row>
    <row r="17" spans="2:9" s="150" customFormat="1" x14ac:dyDescent="0.25">
      <c r="B17" s="88"/>
      <c r="C17" s="86"/>
      <c r="D17" s="86"/>
      <c r="E17" s="170"/>
      <c r="F17" s="151"/>
      <c r="G17" s="151"/>
      <c r="H17" s="151"/>
      <c r="I17" s="151"/>
    </row>
    <row r="18" spans="2:9" s="150" customFormat="1" x14ac:dyDescent="0.25">
      <c r="B18" s="103" t="s">
        <v>0</v>
      </c>
      <c r="C18" s="101"/>
      <c r="D18" s="101"/>
      <c r="E18" s="171"/>
      <c r="F18" s="151"/>
      <c r="G18" s="151"/>
      <c r="H18" s="151"/>
      <c r="I18" s="151"/>
    </row>
    <row r="19" spans="2:9" s="150" customFormat="1" x14ac:dyDescent="0.25">
      <c r="B19" s="172" t="s">
        <v>115</v>
      </c>
      <c r="C19" s="39">
        <f>$C$5*365*C11*C12</f>
        <v>275940</v>
      </c>
      <c r="D19" s="39">
        <f t="shared" ref="D19:E19" si="1">$C$5*365*D11*D12</f>
        <v>302493.75</v>
      </c>
      <c r="E19" s="40">
        <f t="shared" si="1"/>
        <v>344924.99999999994</v>
      </c>
      <c r="F19" s="151"/>
      <c r="G19" s="151"/>
      <c r="H19" s="151"/>
      <c r="I19" s="151"/>
    </row>
    <row r="20" spans="2:9" s="150" customFormat="1" x14ac:dyDescent="0.25">
      <c r="B20" s="172" t="s">
        <v>114</v>
      </c>
      <c r="C20" s="39">
        <f>C6*C7*C15*C16</f>
        <v>52500</v>
      </c>
      <c r="D20" s="39">
        <f>C6*C7*D15*D16</f>
        <v>63000</v>
      </c>
      <c r="E20" s="40">
        <f>C6*C7*E15*E16</f>
        <v>70875</v>
      </c>
      <c r="F20" s="151"/>
      <c r="G20" s="151"/>
      <c r="H20" s="151"/>
      <c r="I20" s="151"/>
    </row>
    <row r="21" spans="2:9" s="150" customFormat="1" x14ac:dyDescent="0.25">
      <c r="B21" s="172" t="s">
        <v>116</v>
      </c>
      <c r="C21" s="39">
        <v>150000</v>
      </c>
      <c r="D21" s="39">
        <v>410000</v>
      </c>
      <c r="E21" s="40">
        <v>420000</v>
      </c>
      <c r="F21" s="151"/>
      <c r="G21" s="173"/>
      <c r="H21" s="151"/>
      <c r="I21" s="151"/>
    </row>
    <row r="22" spans="2:9" s="150" customFormat="1" x14ac:dyDescent="0.25">
      <c r="B22" s="172" t="s">
        <v>151</v>
      </c>
      <c r="C22" s="39">
        <v>80000</v>
      </c>
      <c r="D22" s="39">
        <v>85000</v>
      </c>
      <c r="E22" s="40">
        <v>86000</v>
      </c>
      <c r="F22" s="151"/>
      <c r="G22" s="151"/>
      <c r="H22" s="151"/>
      <c r="I22" s="151"/>
    </row>
    <row r="23" spans="2:9" s="150" customFormat="1" x14ac:dyDescent="0.25">
      <c r="B23" s="172" t="s">
        <v>13</v>
      </c>
      <c r="C23" s="39">
        <v>50000</v>
      </c>
      <c r="D23" s="39">
        <v>55000</v>
      </c>
      <c r="E23" s="40">
        <v>60000</v>
      </c>
      <c r="F23" s="151"/>
      <c r="G23" s="151"/>
      <c r="H23" s="151"/>
      <c r="I23" s="151"/>
    </row>
    <row r="24" spans="2:9" s="150" customFormat="1" x14ac:dyDescent="0.25">
      <c r="B24" s="112" t="s">
        <v>1</v>
      </c>
      <c r="C24" s="111">
        <f>SUM(C19:C23)</f>
        <v>608440</v>
      </c>
      <c r="D24" s="111">
        <f>SUM(D19:D23)</f>
        <v>915493.75</v>
      </c>
      <c r="E24" s="113">
        <f>SUM(E19:E23)</f>
        <v>981800</v>
      </c>
      <c r="F24" s="151"/>
      <c r="G24" s="151"/>
      <c r="H24" s="151"/>
      <c r="I24" s="151"/>
    </row>
    <row r="25" spans="2:9" s="150" customFormat="1" x14ac:dyDescent="0.25">
      <c r="B25" s="115"/>
      <c r="C25" s="116"/>
      <c r="D25" s="116"/>
      <c r="E25" s="174"/>
      <c r="F25" s="151"/>
      <c r="G25" s="151"/>
      <c r="H25" s="151"/>
      <c r="I25" s="151"/>
    </row>
    <row r="26" spans="2:9" s="150" customFormat="1" x14ac:dyDescent="0.25">
      <c r="B26" s="118" t="s">
        <v>14</v>
      </c>
      <c r="C26" s="116"/>
      <c r="D26" s="116"/>
      <c r="E26" s="174"/>
      <c r="F26" s="151"/>
      <c r="G26" s="151"/>
      <c r="H26" s="151"/>
      <c r="I26" s="151"/>
    </row>
    <row r="27" spans="2:9" s="150" customFormat="1" x14ac:dyDescent="0.25">
      <c r="B27" s="115" t="s">
        <v>121</v>
      </c>
      <c r="C27" s="39">
        <f>(C19+C20)*0.19</f>
        <v>62403.6</v>
      </c>
      <c r="D27" s="39">
        <f>(D19+D20)*0.19</f>
        <v>69443.8125</v>
      </c>
      <c r="E27" s="40">
        <f>(E19+E20)*0.19</f>
        <v>79001.999999999985</v>
      </c>
      <c r="F27" s="151"/>
      <c r="G27" s="151"/>
      <c r="H27" s="151"/>
      <c r="I27" s="151"/>
    </row>
    <row r="28" spans="2:9" s="150" customFormat="1" x14ac:dyDescent="0.25">
      <c r="B28" s="115" t="s">
        <v>122</v>
      </c>
      <c r="C28" s="39">
        <f>(C20+C19)*0.08</f>
        <v>26275.200000000001</v>
      </c>
      <c r="D28" s="39">
        <f>(D20+D19)*0.08</f>
        <v>29239.5</v>
      </c>
      <c r="E28" s="40">
        <f>(E20+E19)*0.08</f>
        <v>33263.999999999993</v>
      </c>
      <c r="F28" s="151"/>
      <c r="G28" s="151"/>
      <c r="H28" s="151"/>
      <c r="I28" s="151"/>
    </row>
    <row r="29" spans="2:9" s="150" customFormat="1" x14ac:dyDescent="0.25">
      <c r="B29" s="115" t="s">
        <v>15</v>
      </c>
      <c r="C29" s="39">
        <f>C21*0.29</f>
        <v>43500</v>
      </c>
      <c r="D29" s="39">
        <f>D21*0.29</f>
        <v>118899.99999999999</v>
      </c>
      <c r="E29" s="40">
        <f>E21*0.29</f>
        <v>121799.99999999999</v>
      </c>
      <c r="F29" s="151"/>
      <c r="G29" s="151"/>
      <c r="H29" s="151"/>
      <c r="I29" s="151"/>
    </row>
    <row r="30" spans="2:9" s="150" customFormat="1" x14ac:dyDescent="0.25">
      <c r="B30" s="115" t="s">
        <v>16</v>
      </c>
      <c r="C30" s="39">
        <f>C21*0.29</f>
        <v>43500</v>
      </c>
      <c r="D30" s="39">
        <f>D21*0.29</f>
        <v>118899.99999999999</v>
      </c>
      <c r="E30" s="40">
        <f>E21*0.29</f>
        <v>121799.99999999999</v>
      </c>
      <c r="F30" s="151"/>
      <c r="G30" s="151"/>
      <c r="H30" s="151"/>
      <c r="I30" s="151"/>
    </row>
    <row r="31" spans="2:9" s="150" customFormat="1" x14ac:dyDescent="0.25">
      <c r="B31" s="175" t="s">
        <v>17</v>
      </c>
      <c r="C31" s="39">
        <f>C21*0.05</f>
        <v>7500</v>
      </c>
      <c r="D31" s="39">
        <f>D21*0.05</f>
        <v>20500</v>
      </c>
      <c r="E31" s="40">
        <f>E21*0.05</f>
        <v>21000</v>
      </c>
      <c r="F31" s="151"/>
      <c r="G31" s="151"/>
      <c r="H31" s="151"/>
      <c r="I31" s="151"/>
    </row>
    <row r="32" spans="2:9" s="150" customFormat="1" x14ac:dyDescent="0.25">
      <c r="B32" s="175" t="s">
        <v>152</v>
      </c>
      <c r="C32" s="39">
        <f>C22*0.19</f>
        <v>15200</v>
      </c>
      <c r="D32" s="39">
        <f t="shared" ref="D32:E32" si="2">D22*0.19</f>
        <v>16150</v>
      </c>
      <c r="E32" s="40">
        <f t="shared" si="2"/>
        <v>16340</v>
      </c>
      <c r="F32" s="151"/>
      <c r="G32" s="151"/>
      <c r="H32" s="151"/>
      <c r="I32" s="151"/>
    </row>
    <row r="33" spans="2:9" s="150" customFormat="1" x14ac:dyDescent="0.25">
      <c r="B33" s="175" t="s">
        <v>153</v>
      </c>
      <c r="C33" s="39">
        <f>C22*0.15</f>
        <v>12000</v>
      </c>
      <c r="D33" s="39">
        <f t="shared" ref="D33:E33" si="3">D22*0.15</f>
        <v>12750</v>
      </c>
      <c r="E33" s="40">
        <f t="shared" si="3"/>
        <v>12900</v>
      </c>
      <c r="F33" s="151"/>
      <c r="G33" s="151"/>
      <c r="H33" s="151"/>
      <c r="I33" s="151"/>
    </row>
    <row r="34" spans="2:9" s="150" customFormat="1" x14ac:dyDescent="0.25">
      <c r="B34" s="175" t="s">
        <v>154</v>
      </c>
      <c r="C34" s="39">
        <f>C22*0.25</f>
        <v>20000</v>
      </c>
      <c r="D34" s="39">
        <f t="shared" ref="D34:E34" si="4">D22*0.25</f>
        <v>21250</v>
      </c>
      <c r="E34" s="40">
        <f t="shared" si="4"/>
        <v>21500</v>
      </c>
      <c r="F34" s="151"/>
      <c r="G34" s="151"/>
      <c r="H34" s="151"/>
      <c r="I34" s="151"/>
    </row>
    <row r="35" spans="2:9" s="150" customFormat="1" x14ac:dyDescent="0.25">
      <c r="B35" s="176" t="s">
        <v>92</v>
      </c>
      <c r="C35" s="39">
        <f>C23*0.2</f>
        <v>10000</v>
      </c>
      <c r="D35" s="39">
        <f t="shared" ref="D35:E35" si="5">D23*0.2</f>
        <v>11000</v>
      </c>
      <c r="E35" s="40">
        <f t="shared" si="5"/>
        <v>12000</v>
      </c>
      <c r="F35" s="151"/>
      <c r="G35" s="151"/>
      <c r="H35" s="151"/>
      <c r="I35" s="151"/>
    </row>
    <row r="36" spans="2:9" s="150" customFormat="1" x14ac:dyDescent="0.25">
      <c r="B36" s="112" t="s">
        <v>18</v>
      </c>
      <c r="C36" s="111">
        <f>SUM(C27:C35)</f>
        <v>240378.8</v>
      </c>
      <c r="D36" s="111">
        <f t="shared" ref="D36:E36" si="6">SUM(D27:D35)</f>
        <v>418133.3125</v>
      </c>
      <c r="E36" s="113">
        <f t="shared" si="6"/>
        <v>439605.99999999994</v>
      </c>
      <c r="F36" s="151"/>
      <c r="G36" s="173"/>
      <c r="H36" s="151"/>
      <c r="I36" s="151"/>
    </row>
    <row r="37" spans="2:9" s="150" customFormat="1" x14ac:dyDescent="0.25">
      <c r="B37" s="115"/>
      <c r="C37" s="114"/>
      <c r="D37" s="114"/>
      <c r="E37" s="177"/>
      <c r="F37" s="151"/>
      <c r="G37" s="151"/>
      <c r="H37" s="151"/>
      <c r="I37" s="151"/>
    </row>
    <row r="38" spans="2:9" s="150" customFormat="1" x14ac:dyDescent="0.25">
      <c r="B38" s="118" t="s">
        <v>19</v>
      </c>
      <c r="C38" s="117"/>
      <c r="D38" s="117"/>
      <c r="E38" s="178"/>
      <c r="F38" s="151"/>
      <c r="G38" s="151"/>
      <c r="H38" s="151"/>
      <c r="I38" s="151"/>
    </row>
    <row r="39" spans="2:9" s="150" customFormat="1" x14ac:dyDescent="0.25">
      <c r="B39" s="115" t="s">
        <v>38</v>
      </c>
      <c r="C39" s="39">
        <f>C24*0.15</f>
        <v>91266</v>
      </c>
      <c r="D39" s="39">
        <f t="shared" ref="D39:E39" si="7">D24*0.15</f>
        <v>137324.0625</v>
      </c>
      <c r="E39" s="40">
        <f t="shared" si="7"/>
        <v>147270</v>
      </c>
      <c r="F39" s="151"/>
      <c r="G39" s="151"/>
      <c r="H39" s="151"/>
      <c r="I39" s="151"/>
    </row>
    <row r="40" spans="2:9" s="150" customFormat="1" x14ac:dyDescent="0.25">
      <c r="B40" s="175" t="s">
        <v>2</v>
      </c>
      <c r="C40" s="39">
        <f>C24*0.05</f>
        <v>30422</v>
      </c>
      <c r="D40" s="39">
        <f t="shared" ref="D40:E40" si="8">D24*0.05</f>
        <v>45774.6875</v>
      </c>
      <c r="E40" s="40">
        <f t="shared" si="8"/>
        <v>49090</v>
      </c>
      <c r="F40" s="151"/>
      <c r="G40" s="151"/>
      <c r="H40" s="151"/>
      <c r="I40" s="151"/>
    </row>
    <row r="41" spans="2:9" s="150" customFormat="1" x14ac:dyDescent="0.25">
      <c r="B41" s="154" t="s">
        <v>3</v>
      </c>
      <c r="C41" s="39">
        <f>C24*0.03</f>
        <v>18253.2</v>
      </c>
      <c r="D41" s="39">
        <f t="shared" ref="D41:E41" si="9">D24*0.03</f>
        <v>27464.8125</v>
      </c>
      <c r="E41" s="40">
        <f t="shared" si="9"/>
        <v>29454</v>
      </c>
      <c r="F41" s="151"/>
      <c r="G41" s="151"/>
      <c r="H41" s="151"/>
      <c r="I41" s="151"/>
    </row>
    <row r="42" spans="2:9" s="150" customFormat="1" x14ac:dyDescent="0.25">
      <c r="B42" s="154" t="s">
        <v>4</v>
      </c>
      <c r="C42" s="39">
        <f>C24*0.04</f>
        <v>24337.600000000002</v>
      </c>
      <c r="D42" s="39">
        <f t="shared" ref="D42:E42" si="10">D24*0.04</f>
        <v>36619.75</v>
      </c>
      <c r="E42" s="40">
        <f t="shared" si="10"/>
        <v>39272</v>
      </c>
      <c r="F42" s="151"/>
      <c r="G42" s="151"/>
      <c r="H42" s="151"/>
      <c r="I42" s="151"/>
    </row>
    <row r="43" spans="2:9" s="150" customFormat="1" x14ac:dyDescent="0.25">
      <c r="B43" s="154" t="s">
        <v>5</v>
      </c>
      <c r="C43" s="39">
        <f>C24*0.05</f>
        <v>30422</v>
      </c>
      <c r="D43" s="39">
        <f t="shared" ref="D43:E43" si="11">D24*0.05</f>
        <v>45774.6875</v>
      </c>
      <c r="E43" s="40">
        <f t="shared" si="11"/>
        <v>49090</v>
      </c>
      <c r="F43" s="151"/>
      <c r="G43" s="151"/>
      <c r="H43" s="151"/>
      <c r="I43" s="151"/>
    </row>
    <row r="44" spans="2:9" s="150" customFormat="1" x14ac:dyDescent="0.25">
      <c r="B44" s="112" t="s">
        <v>20</v>
      </c>
      <c r="C44" s="111">
        <f t="shared" ref="C44:E44" si="12">SUM(C39:C43)</f>
        <v>194700.80000000002</v>
      </c>
      <c r="D44" s="111">
        <f t="shared" si="12"/>
        <v>292958</v>
      </c>
      <c r="E44" s="113">
        <f t="shared" si="12"/>
        <v>314176</v>
      </c>
      <c r="F44" s="151"/>
      <c r="G44" s="151"/>
      <c r="H44" s="151"/>
      <c r="I44" s="151"/>
    </row>
    <row r="45" spans="2:9" s="150" customFormat="1" x14ac:dyDescent="0.25">
      <c r="B45" s="154"/>
      <c r="C45" s="156"/>
      <c r="D45" s="156"/>
      <c r="E45" s="179"/>
      <c r="F45" s="151"/>
      <c r="G45" s="151"/>
      <c r="H45" s="151"/>
      <c r="I45" s="151"/>
    </row>
    <row r="46" spans="2:9" s="150" customFormat="1" x14ac:dyDescent="0.25">
      <c r="B46" s="112" t="s">
        <v>22</v>
      </c>
      <c r="C46" s="111">
        <f>C24-C36-C44</f>
        <v>173360.4</v>
      </c>
      <c r="D46" s="111">
        <f t="shared" ref="D46:E46" si="13">D24-D36-D44</f>
        <v>204402.4375</v>
      </c>
      <c r="E46" s="113">
        <f t="shared" si="13"/>
        <v>228018</v>
      </c>
      <c r="F46" s="151"/>
      <c r="G46" s="151"/>
      <c r="H46" s="151"/>
      <c r="I46" s="151"/>
    </row>
    <row r="47" spans="2:9" s="150" customFormat="1" x14ac:dyDescent="0.25">
      <c r="B47" s="154"/>
      <c r="C47" s="156"/>
      <c r="D47" s="156"/>
      <c r="E47" s="179"/>
      <c r="F47" s="151"/>
      <c r="G47" s="151"/>
      <c r="H47" s="151"/>
      <c r="I47" s="151"/>
    </row>
    <row r="48" spans="2:9" s="150" customFormat="1" x14ac:dyDescent="0.25">
      <c r="B48" s="180" t="s">
        <v>21</v>
      </c>
      <c r="C48" s="156"/>
      <c r="D48" s="156"/>
      <c r="E48" s="179"/>
      <c r="F48" s="151"/>
      <c r="G48" s="151"/>
      <c r="H48" s="151"/>
      <c r="I48" s="151"/>
    </row>
    <row r="49" spans="2:9" s="150" customFormat="1" x14ac:dyDescent="0.25">
      <c r="B49" s="154" t="s">
        <v>24</v>
      </c>
      <c r="C49" s="39">
        <v>0</v>
      </c>
      <c r="D49" s="39">
        <v>0</v>
      </c>
      <c r="E49" s="40">
        <v>0</v>
      </c>
      <c r="F49" s="151"/>
      <c r="G49" s="151"/>
      <c r="H49" s="151"/>
      <c r="I49" s="151"/>
    </row>
    <row r="50" spans="2:9" s="150" customFormat="1" x14ac:dyDescent="0.25">
      <c r="B50" s="154" t="s">
        <v>25</v>
      </c>
      <c r="C50" s="39">
        <v>35000</v>
      </c>
      <c r="D50" s="39">
        <v>35000</v>
      </c>
      <c r="E50" s="40">
        <v>35000</v>
      </c>
      <c r="F50" s="151"/>
      <c r="G50" s="151"/>
      <c r="H50" s="151"/>
      <c r="I50" s="151"/>
    </row>
    <row r="51" spans="2:9" s="150" customFormat="1" x14ac:dyDescent="0.25">
      <c r="B51" s="154" t="s">
        <v>26</v>
      </c>
      <c r="C51" s="39">
        <v>25000</v>
      </c>
      <c r="D51" s="39">
        <v>25000</v>
      </c>
      <c r="E51" s="40">
        <v>25000</v>
      </c>
      <c r="F51" s="151"/>
      <c r="G51" s="151"/>
      <c r="H51" s="151"/>
      <c r="I51" s="151"/>
    </row>
    <row r="52" spans="2:9" s="150" customFormat="1" x14ac:dyDescent="0.25">
      <c r="B52" s="112" t="s">
        <v>27</v>
      </c>
      <c r="C52" s="111">
        <f t="shared" ref="C52:E52" si="14">SUM(C49:C51)</f>
        <v>60000</v>
      </c>
      <c r="D52" s="111">
        <f t="shared" si="14"/>
        <v>60000</v>
      </c>
      <c r="E52" s="113">
        <f t="shared" si="14"/>
        <v>60000</v>
      </c>
      <c r="F52" s="151"/>
      <c r="G52" s="151"/>
      <c r="H52" s="151"/>
      <c r="I52" s="151"/>
    </row>
    <row r="53" spans="2:9" s="150" customFormat="1" x14ac:dyDescent="0.25">
      <c r="B53" s="115"/>
      <c r="C53" s="114"/>
      <c r="D53" s="114"/>
      <c r="E53" s="177"/>
      <c r="F53" s="151"/>
      <c r="G53" s="151"/>
      <c r="H53" s="151"/>
      <c r="I53" s="151"/>
    </row>
    <row r="54" spans="2:9" s="150" customFormat="1" x14ac:dyDescent="0.25">
      <c r="B54" s="112" t="s">
        <v>6</v>
      </c>
      <c r="C54" s="111">
        <f t="shared" ref="C54:E54" si="15">C46-C52</f>
        <v>113360.4</v>
      </c>
      <c r="D54" s="111">
        <f t="shared" si="15"/>
        <v>144402.4375</v>
      </c>
      <c r="E54" s="113">
        <f t="shared" si="15"/>
        <v>168018</v>
      </c>
      <c r="F54" s="151"/>
      <c r="G54" s="151"/>
      <c r="H54" s="151"/>
      <c r="I54" s="151"/>
    </row>
    <row r="55" spans="2:9" s="150" customFormat="1" x14ac:dyDescent="0.25">
      <c r="B55" s="118" t="s">
        <v>7</v>
      </c>
      <c r="C55" s="181">
        <f>C54/C24</f>
        <v>0.18631319439879035</v>
      </c>
      <c r="D55" s="181">
        <f t="shared" ref="D55:E55" si="16">D54/D24</f>
        <v>0.15773175677059512</v>
      </c>
      <c r="E55" s="182">
        <f t="shared" si="16"/>
        <v>0.17113261356691792</v>
      </c>
      <c r="F55" s="151"/>
      <c r="G55" s="151"/>
      <c r="H55" s="151"/>
      <c r="I55" s="151"/>
    </row>
    <row r="56" spans="2:9" s="150" customFormat="1" x14ac:dyDescent="0.25">
      <c r="B56" s="154"/>
      <c r="C56" s="156"/>
      <c r="D56" s="156"/>
      <c r="E56" s="179"/>
      <c r="F56" s="151"/>
      <c r="G56" s="151"/>
      <c r="H56" s="151"/>
      <c r="I56" s="151"/>
    </row>
    <row r="57" spans="2:9" s="150" customFormat="1" x14ac:dyDescent="0.25">
      <c r="B57" s="56" t="s">
        <v>36</v>
      </c>
      <c r="C57" s="32">
        <f t="shared" ref="C57:E60" si="17">C10</f>
        <v>2017</v>
      </c>
      <c r="D57" s="32">
        <f t="shared" si="17"/>
        <v>2018</v>
      </c>
      <c r="E57" s="33">
        <f t="shared" si="17"/>
        <v>2019</v>
      </c>
      <c r="F57" s="151"/>
      <c r="G57" s="151"/>
      <c r="H57" s="151"/>
      <c r="I57" s="151"/>
    </row>
    <row r="58" spans="2:9" s="150" customFormat="1" x14ac:dyDescent="0.25">
      <c r="B58" s="154" t="s">
        <v>123</v>
      </c>
      <c r="C58" s="183">
        <f t="shared" si="17"/>
        <v>0.63</v>
      </c>
      <c r="D58" s="183">
        <f t="shared" si="17"/>
        <v>0.65</v>
      </c>
      <c r="E58" s="184">
        <f t="shared" si="17"/>
        <v>0.7</v>
      </c>
      <c r="F58" s="151"/>
      <c r="G58" s="151"/>
      <c r="H58" s="151"/>
      <c r="I58" s="151"/>
    </row>
    <row r="59" spans="2:9" s="150" customFormat="1" x14ac:dyDescent="0.25">
      <c r="B59" s="154" t="s">
        <v>124</v>
      </c>
      <c r="C59" s="185">
        <f t="shared" si="17"/>
        <v>80</v>
      </c>
      <c r="D59" s="185">
        <f t="shared" si="17"/>
        <v>85</v>
      </c>
      <c r="E59" s="186">
        <f t="shared" si="17"/>
        <v>90</v>
      </c>
      <c r="F59" s="151"/>
      <c r="G59" s="151"/>
      <c r="H59" s="151"/>
      <c r="I59" s="151"/>
    </row>
    <row r="60" spans="2:9" s="150" customFormat="1" x14ac:dyDescent="0.25">
      <c r="B60" s="154" t="s">
        <v>125</v>
      </c>
      <c r="C60" s="185">
        <f t="shared" si="17"/>
        <v>50.4</v>
      </c>
      <c r="D60" s="185">
        <f t="shared" si="17"/>
        <v>55.25</v>
      </c>
      <c r="E60" s="186">
        <f t="shared" si="17"/>
        <v>62.999999999999993</v>
      </c>
      <c r="F60" s="151"/>
      <c r="G60" s="151"/>
      <c r="H60" s="151"/>
      <c r="I60" s="151"/>
    </row>
    <row r="61" spans="2:9" s="150" customFormat="1" x14ac:dyDescent="0.25">
      <c r="B61" s="154" t="s">
        <v>37</v>
      </c>
      <c r="C61" s="187">
        <f>C27+C29+C39+C32</f>
        <v>212369.6</v>
      </c>
      <c r="D61" s="187">
        <f>D27+D29+D39+D32</f>
        <v>341817.875</v>
      </c>
      <c r="E61" s="188">
        <f>E27+E29+E39+E32</f>
        <v>364412</v>
      </c>
      <c r="F61" s="151"/>
      <c r="G61" s="151"/>
      <c r="H61" s="151"/>
      <c r="I61" s="151"/>
    </row>
    <row r="62" spans="2:9" s="150" customFormat="1" x14ac:dyDescent="0.25">
      <c r="B62" s="154" t="s">
        <v>39</v>
      </c>
      <c r="C62" s="189">
        <f>C61/C24</f>
        <v>0.34903951088028401</v>
      </c>
      <c r="D62" s="189">
        <f>D61/D24</f>
        <v>0.37336997112214038</v>
      </c>
      <c r="E62" s="190">
        <f>E61/E24</f>
        <v>0.37116724383784883</v>
      </c>
      <c r="F62" s="151"/>
      <c r="G62" s="151"/>
      <c r="H62" s="151"/>
      <c r="I62" s="151"/>
    </row>
    <row r="63" spans="2:9" s="150" customFormat="1" x14ac:dyDescent="0.25">
      <c r="B63" s="154" t="s">
        <v>40</v>
      </c>
      <c r="C63" s="189">
        <f>(C21-C30)/C21</f>
        <v>0.71</v>
      </c>
      <c r="D63" s="189">
        <f t="shared" ref="D63:E63" si="18">(D21-D30)/D21</f>
        <v>0.71</v>
      </c>
      <c r="E63" s="190">
        <f t="shared" si="18"/>
        <v>0.71</v>
      </c>
      <c r="F63" s="151"/>
      <c r="G63" s="151"/>
      <c r="H63" s="151"/>
      <c r="I63" s="151"/>
    </row>
    <row r="64" spans="2:9" s="150" customFormat="1" x14ac:dyDescent="0.25">
      <c r="B64" s="154" t="s">
        <v>94</v>
      </c>
      <c r="C64" s="189">
        <f>(C24-C36)/C24</f>
        <v>0.604926040365525</v>
      </c>
      <c r="D64" s="189">
        <f>(D24-D36)/D24</f>
        <v>0.54327016159312935</v>
      </c>
      <c r="E64" s="190">
        <f>(E24-E36)/E24</f>
        <v>0.55224485638622933</v>
      </c>
      <c r="F64" s="151"/>
      <c r="G64" s="151"/>
      <c r="H64" s="151"/>
      <c r="I64" s="151"/>
    </row>
    <row r="65" spans="2:9" s="150" customFormat="1" x14ac:dyDescent="0.25">
      <c r="B65" s="154" t="s">
        <v>23</v>
      </c>
      <c r="C65" s="189">
        <f>C46/C24</f>
        <v>0.28492604036552494</v>
      </c>
      <c r="D65" s="189">
        <f>D46/D24</f>
        <v>0.2232701615931294</v>
      </c>
      <c r="E65" s="190">
        <f>E46/E24</f>
        <v>0.23224485638622938</v>
      </c>
      <c r="F65" s="151"/>
      <c r="G65" s="151"/>
      <c r="H65" s="151"/>
      <c r="I65" s="151"/>
    </row>
    <row r="66" spans="2:9" s="150" customFormat="1" ht="15.75" thickBot="1" x14ac:dyDescent="0.3">
      <c r="B66" s="191" t="s">
        <v>43</v>
      </c>
      <c r="C66" s="192">
        <f>C54/C24</f>
        <v>0.18631319439879035</v>
      </c>
      <c r="D66" s="192">
        <f>D54/D24</f>
        <v>0.15773175677059512</v>
      </c>
      <c r="E66" s="193">
        <f>E54/E24</f>
        <v>0.17113261356691792</v>
      </c>
      <c r="F66" s="151"/>
      <c r="G66" s="151"/>
      <c r="H66" s="151"/>
      <c r="I66" s="151"/>
    </row>
    <row r="67" spans="2:9" s="150" customFormat="1" x14ac:dyDescent="0.25">
      <c r="F67" s="151"/>
      <c r="G67" s="151"/>
      <c r="H67" s="151"/>
      <c r="I67" s="151"/>
    </row>
  </sheetData>
  <sheetProtection selectLockedCells="1"/>
  <pageMargins left="0.7" right="0.7" top="0.75" bottom="0.75" header="0.3" footer="0.3"/>
  <pageSetup paperSize="9" scale="7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B01F-D0BE-4E1E-951C-9D32CB212CDA}">
  <sheetPr>
    <tabColor theme="5" tint="0.59999389629810485"/>
    <pageSetUpPr fitToPage="1"/>
  </sheetPr>
  <dimension ref="A1:S97"/>
  <sheetViews>
    <sheetView showGridLines="0" zoomScaleNormal="100" workbookViewId="0"/>
  </sheetViews>
  <sheetFormatPr defaultRowHeight="15" outlineLevelCol="1" x14ac:dyDescent="0.25"/>
  <cols>
    <col min="1" max="1" width="2.85546875" style="1" customWidth="1"/>
    <col min="2" max="2" width="33" style="1" customWidth="1"/>
    <col min="3" max="3" width="34.140625" style="1" bestFit="1" customWidth="1"/>
    <col min="4" max="4" width="11.140625" style="1" bestFit="1" customWidth="1"/>
    <col min="5" max="8" width="10.140625" style="1" bestFit="1" customWidth="1"/>
    <col min="9" max="9" width="4.7109375" style="1" customWidth="1"/>
    <col min="10" max="10" width="28.28515625" style="1" customWidth="1"/>
    <col min="11" max="13" width="11.5703125" style="1" customWidth="1" outlineLevel="1"/>
    <col min="14" max="14" width="2.85546875" style="1" customWidth="1" outlineLevel="1"/>
    <col min="15" max="18" width="10.140625" style="1" bestFit="1" customWidth="1"/>
    <col min="19" max="19" width="10.140625" style="1" customWidth="1"/>
    <col min="20" max="16384" width="9.140625" style="1"/>
  </cols>
  <sheetData>
    <row r="1" spans="1:19" s="22" customFormat="1" ht="17.25" x14ac:dyDescent="0.3">
      <c r="B1" s="201" t="s">
        <v>93</v>
      </c>
      <c r="C1" s="201"/>
    </row>
    <row r="2" spans="1:19" s="22" customFormat="1" ht="15.75" thickBot="1" x14ac:dyDescent="0.3">
      <c r="D2" s="76"/>
      <c r="E2" s="76"/>
      <c r="F2" s="76"/>
      <c r="G2" s="76"/>
      <c r="H2" s="76"/>
      <c r="I2" s="76"/>
    </row>
    <row r="3" spans="1:19" s="22" customFormat="1" ht="48.75" customHeight="1" x14ac:dyDescent="0.25">
      <c r="B3" s="206" t="s">
        <v>169</v>
      </c>
      <c r="C3" s="20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</row>
    <row r="4" spans="1:19" s="22" customFormat="1" x14ac:dyDescent="0.25">
      <c r="B4" s="23" t="s">
        <v>8</v>
      </c>
      <c r="C4" s="77" t="s">
        <v>112</v>
      </c>
      <c r="D4" s="78"/>
      <c r="E4" s="78"/>
      <c r="F4" s="78"/>
      <c r="G4" s="78"/>
      <c r="H4" s="78"/>
      <c r="I4" s="78"/>
      <c r="J4" s="25"/>
      <c r="K4" s="79"/>
      <c r="L4" s="79"/>
      <c r="M4" s="79"/>
      <c r="N4" s="79"/>
      <c r="O4" s="25"/>
      <c r="P4" s="25"/>
      <c r="Q4" s="25"/>
      <c r="R4" s="25"/>
      <c r="S4" s="26"/>
    </row>
    <row r="5" spans="1:19" s="22" customFormat="1" x14ac:dyDescent="0.25">
      <c r="B5" s="23" t="s">
        <v>126</v>
      </c>
      <c r="C5" s="80">
        <v>25</v>
      </c>
      <c r="D5" s="78"/>
      <c r="E5" s="78"/>
      <c r="F5" s="78"/>
      <c r="G5" s="78"/>
      <c r="H5" s="78"/>
      <c r="I5" s="78"/>
      <c r="J5" s="25"/>
      <c r="K5" s="79"/>
      <c r="L5" s="79"/>
      <c r="M5" s="79"/>
      <c r="N5" s="79"/>
      <c r="O5" s="25"/>
      <c r="P5" s="25"/>
      <c r="Q5" s="25"/>
      <c r="R5" s="25"/>
      <c r="S5" s="26"/>
    </row>
    <row r="6" spans="1:19" s="22" customFormat="1" x14ac:dyDescent="0.25">
      <c r="B6" s="23" t="s">
        <v>117</v>
      </c>
      <c r="C6" s="80">
        <v>50</v>
      </c>
      <c r="D6" s="78"/>
      <c r="E6" s="78"/>
      <c r="F6" s="78"/>
      <c r="G6" s="78"/>
      <c r="H6" s="78"/>
      <c r="I6" s="78"/>
      <c r="J6" s="25"/>
      <c r="K6" s="79"/>
      <c r="L6" s="79"/>
      <c r="M6" s="79"/>
      <c r="N6" s="79"/>
      <c r="O6" s="25"/>
      <c r="P6" s="25"/>
      <c r="Q6" s="25"/>
      <c r="R6" s="25"/>
      <c r="S6" s="26"/>
    </row>
    <row r="7" spans="1:19" s="22" customFormat="1" x14ac:dyDescent="0.25">
      <c r="B7" s="23" t="s">
        <v>133</v>
      </c>
      <c r="C7" s="80">
        <v>150</v>
      </c>
      <c r="D7" s="78"/>
      <c r="E7" s="78"/>
      <c r="F7" s="78"/>
      <c r="G7" s="78"/>
      <c r="H7" s="78"/>
      <c r="I7" s="78"/>
      <c r="J7" s="25"/>
      <c r="K7" s="79"/>
      <c r="L7" s="79"/>
      <c r="M7" s="79"/>
      <c r="N7" s="79"/>
      <c r="O7" s="25"/>
      <c r="P7" s="25"/>
      <c r="Q7" s="25"/>
      <c r="R7" s="25"/>
      <c r="S7" s="26"/>
    </row>
    <row r="8" spans="1:19" s="22" customFormat="1" ht="15" customHeight="1" thickBot="1" x14ac:dyDescent="0.3">
      <c r="B8" s="23" t="s">
        <v>9</v>
      </c>
      <c r="C8" s="80">
        <v>2021</v>
      </c>
      <c r="D8" s="78"/>
      <c r="E8" s="78"/>
      <c r="F8" s="78"/>
      <c r="G8" s="78"/>
      <c r="H8" s="78"/>
      <c r="I8" s="78"/>
      <c r="J8" s="25"/>
      <c r="K8" s="81"/>
      <c r="L8" s="81"/>
      <c r="M8" s="81"/>
      <c r="N8" s="79"/>
      <c r="O8" s="25"/>
      <c r="P8" s="25"/>
      <c r="Q8" s="25"/>
      <c r="R8" s="25"/>
      <c r="S8" s="26"/>
    </row>
    <row r="9" spans="1:19" s="22" customFormat="1" x14ac:dyDescent="0.25">
      <c r="A9" s="43"/>
      <c r="B9" s="23"/>
      <c r="C9" s="78"/>
      <c r="D9" s="78"/>
      <c r="E9" s="78"/>
      <c r="F9" s="78"/>
      <c r="G9" s="78"/>
      <c r="H9" s="78"/>
      <c r="I9" s="25"/>
      <c r="J9" s="51" t="s">
        <v>102</v>
      </c>
      <c r="K9" s="202" t="s">
        <v>97</v>
      </c>
      <c r="L9" s="202"/>
      <c r="M9" s="202"/>
      <c r="N9" s="82"/>
      <c r="O9" s="204" t="s">
        <v>95</v>
      </c>
      <c r="P9" s="204"/>
      <c r="Q9" s="204"/>
      <c r="R9" s="204"/>
      <c r="S9" s="205"/>
    </row>
    <row r="10" spans="1:19" s="22" customFormat="1" x14ac:dyDescent="0.25">
      <c r="B10" s="23"/>
      <c r="C10" s="57" t="str">
        <f>C4</f>
        <v>B&amp;B XYZ</v>
      </c>
      <c r="D10" s="83">
        <f>C8</f>
        <v>2021</v>
      </c>
      <c r="E10" s="83">
        <f>D10+1</f>
        <v>2022</v>
      </c>
      <c r="F10" s="83">
        <f>E10+1</f>
        <v>2023</v>
      </c>
      <c r="G10" s="83">
        <f>F10+1</f>
        <v>2024</v>
      </c>
      <c r="H10" s="83">
        <f>G10+1</f>
        <v>2025</v>
      </c>
      <c r="I10" s="25"/>
      <c r="J10" s="56" t="str">
        <f>C4</f>
        <v>B&amp;B XYZ</v>
      </c>
      <c r="K10" s="84">
        <f>'Historic P&amp;L'!C10</f>
        <v>2017</v>
      </c>
      <c r="L10" s="84">
        <f>'Historic P&amp;L'!D10</f>
        <v>2018</v>
      </c>
      <c r="M10" s="84">
        <f>'Historic P&amp;L'!E10</f>
        <v>2019</v>
      </c>
      <c r="N10" s="84"/>
      <c r="O10" s="83">
        <f>C8</f>
        <v>2021</v>
      </c>
      <c r="P10" s="83">
        <f>O10+1</f>
        <v>2022</v>
      </c>
      <c r="Q10" s="83">
        <f>P10+1</f>
        <v>2023</v>
      </c>
      <c r="R10" s="83">
        <f>Q10+1</f>
        <v>2024</v>
      </c>
      <c r="S10" s="85">
        <f>R10+1</f>
        <v>2025</v>
      </c>
    </row>
    <row r="11" spans="1:19" s="22" customFormat="1" x14ac:dyDescent="0.25">
      <c r="B11" s="23"/>
      <c r="C11" s="86" t="s">
        <v>127</v>
      </c>
      <c r="D11" s="87">
        <f>$C$5*365</f>
        <v>9125</v>
      </c>
      <c r="E11" s="87">
        <f>$C$5*365</f>
        <v>9125</v>
      </c>
      <c r="F11" s="87">
        <f>$C$5*365</f>
        <v>9125</v>
      </c>
      <c r="G11" s="87">
        <f>$C$5*365</f>
        <v>9125</v>
      </c>
      <c r="H11" s="87">
        <f>$C$5*365</f>
        <v>9125</v>
      </c>
      <c r="I11" s="25"/>
      <c r="J11" s="88" t="s">
        <v>127</v>
      </c>
      <c r="K11" s="86"/>
      <c r="L11" s="86"/>
      <c r="M11" s="86"/>
      <c r="N11" s="86"/>
      <c r="O11" s="87">
        <f t="shared" ref="O11:S15" si="0">D11</f>
        <v>9125</v>
      </c>
      <c r="P11" s="87">
        <f t="shared" si="0"/>
        <v>9125</v>
      </c>
      <c r="Q11" s="87">
        <f t="shared" si="0"/>
        <v>9125</v>
      </c>
      <c r="R11" s="87">
        <f t="shared" si="0"/>
        <v>9125</v>
      </c>
      <c r="S11" s="89">
        <f t="shared" si="0"/>
        <v>9125</v>
      </c>
    </row>
    <row r="12" spans="1:19" s="22" customFormat="1" x14ac:dyDescent="0.25">
      <c r="B12" s="23"/>
      <c r="C12" s="86" t="s">
        <v>128</v>
      </c>
      <c r="D12" s="87">
        <f>D13*D11</f>
        <v>4562.5</v>
      </c>
      <c r="E12" s="87">
        <f t="shared" ref="E12:H12" si="1">E13*E11</f>
        <v>5475</v>
      </c>
      <c r="F12" s="87">
        <f t="shared" si="1"/>
        <v>5566.25</v>
      </c>
      <c r="G12" s="87">
        <f t="shared" si="1"/>
        <v>5657.5</v>
      </c>
      <c r="H12" s="87">
        <f t="shared" si="1"/>
        <v>5748.75</v>
      </c>
      <c r="I12" s="25"/>
      <c r="J12" s="88" t="s">
        <v>128</v>
      </c>
      <c r="K12" s="86"/>
      <c r="L12" s="86"/>
      <c r="M12" s="86"/>
      <c r="N12" s="86"/>
      <c r="O12" s="87">
        <f t="shared" si="0"/>
        <v>4562.5</v>
      </c>
      <c r="P12" s="87">
        <f t="shared" si="0"/>
        <v>5475</v>
      </c>
      <c r="Q12" s="87">
        <f t="shared" si="0"/>
        <v>5566.25</v>
      </c>
      <c r="R12" s="87">
        <f t="shared" si="0"/>
        <v>5657.5</v>
      </c>
      <c r="S12" s="89">
        <f t="shared" si="0"/>
        <v>5748.75</v>
      </c>
    </row>
    <row r="13" spans="1:19" s="22" customFormat="1" x14ac:dyDescent="0.25">
      <c r="B13" s="90" t="s">
        <v>34</v>
      </c>
      <c r="C13" s="86" t="s">
        <v>146</v>
      </c>
      <c r="D13" s="91">
        <v>0.5</v>
      </c>
      <c r="E13" s="91">
        <v>0.6</v>
      </c>
      <c r="F13" s="91">
        <v>0.61</v>
      </c>
      <c r="G13" s="91">
        <v>0.62</v>
      </c>
      <c r="H13" s="91">
        <v>0.63</v>
      </c>
      <c r="I13" s="25"/>
      <c r="J13" s="88" t="s">
        <v>10</v>
      </c>
      <c r="K13" s="92">
        <f>'Historic P&amp;L'!C11</f>
        <v>0.63</v>
      </c>
      <c r="L13" s="92">
        <f>'Historic P&amp;L'!D11</f>
        <v>0.65</v>
      </c>
      <c r="M13" s="92">
        <f>'Historic P&amp;L'!E11</f>
        <v>0.7</v>
      </c>
      <c r="N13" s="92"/>
      <c r="O13" s="92">
        <f t="shared" si="0"/>
        <v>0.5</v>
      </c>
      <c r="P13" s="92">
        <f t="shared" si="0"/>
        <v>0.6</v>
      </c>
      <c r="Q13" s="92">
        <f t="shared" si="0"/>
        <v>0.61</v>
      </c>
      <c r="R13" s="92">
        <f t="shared" si="0"/>
        <v>0.62</v>
      </c>
      <c r="S13" s="93">
        <f t="shared" si="0"/>
        <v>0.63</v>
      </c>
    </row>
    <row r="14" spans="1:19" s="22" customFormat="1" x14ac:dyDescent="0.25">
      <c r="B14" s="90" t="s">
        <v>35</v>
      </c>
      <c r="C14" s="86" t="s">
        <v>147</v>
      </c>
      <c r="D14" s="94">
        <v>90</v>
      </c>
      <c r="E14" s="94">
        <v>95</v>
      </c>
      <c r="F14" s="94">
        <v>98</v>
      </c>
      <c r="G14" s="94">
        <v>100</v>
      </c>
      <c r="H14" s="94">
        <v>102</v>
      </c>
      <c r="I14" s="25"/>
      <c r="J14" s="88" t="s">
        <v>11</v>
      </c>
      <c r="K14" s="95">
        <f>'Historic P&amp;L'!C12</f>
        <v>80</v>
      </c>
      <c r="L14" s="95">
        <f>'Historic P&amp;L'!D12</f>
        <v>85</v>
      </c>
      <c r="M14" s="95">
        <f>'Historic P&amp;L'!E12</f>
        <v>90</v>
      </c>
      <c r="N14" s="95"/>
      <c r="O14" s="95">
        <f t="shared" si="0"/>
        <v>90</v>
      </c>
      <c r="P14" s="95">
        <f t="shared" si="0"/>
        <v>95</v>
      </c>
      <c r="Q14" s="95">
        <f t="shared" si="0"/>
        <v>98</v>
      </c>
      <c r="R14" s="95">
        <f t="shared" si="0"/>
        <v>100</v>
      </c>
      <c r="S14" s="96">
        <f t="shared" si="0"/>
        <v>102</v>
      </c>
    </row>
    <row r="15" spans="1:19" s="22" customFormat="1" x14ac:dyDescent="0.25">
      <c r="B15" s="23"/>
      <c r="C15" s="86" t="s">
        <v>148</v>
      </c>
      <c r="D15" s="97">
        <f>D14*D13</f>
        <v>45</v>
      </c>
      <c r="E15" s="97">
        <f t="shared" ref="E15:H15" si="2">E14*E13</f>
        <v>57</v>
      </c>
      <c r="F15" s="97">
        <f t="shared" si="2"/>
        <v>59.78</v>
      </c>
      <c r="G15" s="97">
        <f t="shared" si="2"/>
        <v>62</v>
      </c>
      <c r="H15" s="97">
        <f t="shared" si="2"/>
        <v>64.260000000000005</v>
      </c>
      <c r="I15" s="25"/>
      <c r="J15" s="88" t="s">
        <v>12</v>
      </c>
      <c r="K15" s="97">
        <f>'Historic P&amp;L'!C13</f>
        <v>50.4</v>
      </c>
      <c r="L15" s="97">
        <f>'Historic P&amp;L'!D13</f>
        <v>55.25</v>
      </c>
      <c r="M15" s="97">
        <f>'Historic P&amp;L'!E13</f>
        <v>62.999999999999993</v>
      </c>
      <c r="N15" s="97"/>
      <c r="O15" s="97">
        <f t="shared" si="0"/>
        <v>45</v>
      </c>
      <c r="P15" s="97">
        <f t="shared" si="0"/>
        <v>57</v>
      </c>
      <c r="Q15" s="97">
        <f t="shared" si="0"/>
        <v>59.78</v>
      </c>
      <c r="R15" s="97">
        <f t="shared" si="0"/>
        <v>62</v>
      </c>
      <c r="S15" s="98">
        <f t="shared" si="0"/>
        <v>64.260000000000005</v>
      </c>
    </row>
    <row r="16" spans="1:19" s="22" customFormat="1" x14ac:dyDescent="0.25">
      <c r="B16" s="23"/>
      <c r="C16" s="86"/>
      <c r="D16" s="97"/>
      <c r="E16" s="97"/>
      <c r="F16" s="97"/>
      <c r="G16" s="97"/>
      <c r="H16" s="97"/>
      <c r="I16" s="25"/>
      <c r="J16" s="88"/>
      <c r="K16" s="97"/>
      <c r="L16" s="97"/>
      <c r="M16" s="97"/>
      <c r="N16" s="97"/>
      <c r="O16" s="97"/>
      <c r="P16" s="97"/>
      <c r="Q16" s="97"/>
      <c r="R16" s="97"/>
      <c r="S16" s="98"/>
    </row>
    <row r="17" spans="2:19" s="22" customFormat="1" x14ac:dyDescent="0.25">
      <c r="B17" s="23"/>
      <c r="C17" s="86" t="s">
        <v>131</v>
      </c>
      <c r="D17" s="87">
        <f>$C$6*$C$7</f>
        <v>7500</v>
      </c>
      <c r="E17" s="87">
        <f t="shared" ref="E17:H17" si="3">$C$6*$C$7</f>
        <v>7500</v>
      </c>
      <c r="F17" s="87">
        <f t="shared" si="3"/>
        <v>7500</v>
      </c>
      <c r="G17" s="87">
        <f t="shared" si="3"/>
        <v>7500</v>
      </c>
      <c r="H17" s="87">
        <f t="shared" si="3"/>
        <v>7500</v>
      </c>
      <c r="I17" s="25"/>
      <c r="J17" s="88" t="s">
        <v>131</v>
      </c>
      <c r="K17" s="97"/>
      <c r="L17" s="97"/>
      <c r="M17" s="97"/>
      <c r="N17" s="97"/>
      <c r="O17" s="87">
        <f>D17</f>
        <v>7500</v>
      </c>
      <c r="P17" s="87">
        <f t="shared" ref="P17:S20" si="4">E17</f>
        <v>7500</v>
      </c>
      <c r="Q17" s="87">
        <f t="shared" si="4"/>
        <v>7500</v>
      </c>
      <c r="R17" s="87">
        <f t="shared" si="4"/>
        <v>7500</v>
      </c>
      <c r="S17" s="89">
        <f t="shared" si="4"/>
        <v>7500</v>
      </c>
    </row>
    <row r="18" spans="2:19" s="22" customFormat="1" x14ac:dyDescent="0.25">
      <c r="B18" s="23"/>
      <c r="C18" s="86" t="s">
        <v>132</v>
      </c>
      <c r="D18" s="87">
        <f>D17*D19</f>
        <v>3750</v>
      </c>
      <c r="E18" s="87">
        <f t="shared" ref="E18:H18" si="5">E17*E19</f>
        <v>3750</v>
      </c>
      <c r="F18" s="87">
        <f t="shared" si="5"/>
        <v>3750</v>
      </c>
      <c r="G18" s="87">
        <f t="shared" si="5"/>
        <v>3900</v>
      </c>
      <c r="H18" s="87">
        <f t="shared" si="5"/>
        <v>3900</v>
      </c>
      <c r="I18" s="25"/>
      <c r="J18" s="88" t="s">
        <v>132</v>
      </c>
      <c r="K18" s="97"/>
      <c r="L18" s="97"/>
      <c r="M18" s="97"/>
      <c r="N18" s="97"/>
      <c r="O18" s="87">
        <f>D18</f>
        <v>3750</v>
      </c>
      <c r="P18" s="87">
        <f t="shared" si="4"/>
        <v>3750</v>
      </c>
      <c r="Q18" s="87">
        <f t="shared" si="4"/>
        <v>3750</v>
      </c>
      <c r="R18" s="87">
        <f t="shared" si="4"/>
        <v>3900</v>
      </c>
      <c r="S18" s="89">
        <f t="shared" si="4"/>
        <v>3900</v>
      </c>
    </row>
    <row r="19" spans="2:19" s="22" customFormat="1" x14ac:dyDescent="0.25">
      <c r="B19" s="90" t="s">
        <v>34</v>
      </c>
      <c r="C19" s="86" t="s">
        <v>129</v>
      </c>
      <c r="D19" s="91">
        <v>0.5</v>
      </c>
      <c r="E19" s="91">
        <v>0.5</v>
      </c>
      <c r="F19" s="91">
        <v>0.5</v>
      </c>
      <c r="G19" s="91">
        <v>0.52</v>
      </c>
      <c r="H19" s="91">
        <v>0.52</v>
      </c>
      <c r="I19" s="25"/>
      <c r="J19" s="88" t="s">
        <v>129</v>
      </c>
      <c r="K19" s="92">
        <f>'Historic P&amp;L'!C15</f>
        <v>0.35</v>
      </c>
      <c r="L19" s="92">
        <f>'Historic P&amp;L'!D15</f>
        <v>0.4</v>
      </c>
      <c r="M19" s="92">
        <f>'Historic P&amp;L'!E15</f>
        <v>0.45</v>
      </c>
      <c r="N19" s="97"/>
      <c r="O19" s="92">
        <f>D19</f>
        <v>0.5</v>
      </c>
      <c r="P19" s="92">
        <f t="shared" si="4"/>
        <v>0.5</v>
      </c>
      <c r="Q19" s="92">
        <f t="shared" si="4"/>
        <v>0.5</v>
      </c>
      <c r="R19" s="92">
        <f t="shared" si="4"/>
        <v>0.52</v>
      </c>
      <c r="S19" s="93">
        <f t="shared" si="4"/>
        <v>0.52</v>
      </c>
    </row>
    <row r="20" spans="2:19" s="22" customFormat="1" x14ac:dyDescent="0.25">
      <c r="B20" s="90" t="s">
        <v>35</v>
      </c>
      <c r="C20" s="86" t="s">
        <v>149</v>
      </c>
      <c r="D20" s="94">
        <v>22</v>
      </c>
      <c r="E20" s="94">
        <v>23</v>
      </c>
      <c r="F20" s="94">
        <v>24</v>
      </c>
      <c r="G20" s="94">
        <v>25</v>
      </c>
      <c r="H20" s="94">
        <v>26</v>
      </c>
      <c r="I20" s="25"/>
      <c r="J20" s="88" t="s">
        <v>130</v>
      </c>
      <c r="K20" s="95">
        <f>'Historic P&amp;L'!C16</f>
        <v>20</v>
      </c>
      <c r="L20" s="95">
        <f>'Historic P&amp;L'!D16</f>
        <v>21</v>
      </c>
      <c r="M20" s="95">
        <f>'Historic P&amp;L'!E16</f>
        <v>21</v>
      </c>
      <c r="N20" s="97"/>
      <c r="O20" s="97">
        <f>D20</f>
        <v>22</v>
      </c>
      <c r="P20" s="97">
        <f t="shared" si="4"/>
        <v>23</v>
      </c>
      <c r="Q20" s="97">
        <f t="shared" si="4"/>
        <v>24</v>
      </c>
      <c r="R20" s="97">
        <f t="shared" si="4"/>
        <v>25</v>
      </c>
      <c r="S20" s="98">
        <f t="shared" si="4"/>
        <v>26</v>
      </c>
    </row>
    <row r="21" spans="2:19" s="22" customFormat="1" x14ac:dyDescent="0.25">
      <c r="B21" s="23"/>
      <c r="C21" s="86"/>
      <c r="D21" s="97"/>
      <c r="E21" s="97"/>
      <c r="F21" s="97"/>
      <c r="G21" s="97"/>
      <c r="H21" s="97"/>
      <c r="I21" s="25"/>
      <c r="J21" s="88"/>
      <c r="K21" s="86"/>
      <c r="L21" s="86"/>
      <c r="M21" s="86"/>
      <c r="N21" s="86"/>
      <c r="O21" s="99"/>
      <c r="P21" s="99"/>
      <c r="Q21" s="99"/>
      <c r="R21" s="99"/>
      <c r="S21" s="100"/>
    </row>
    <row r="22" spans="2:19" s="22" customFormat="1" x14ac:dyDescent="0.25">
      <c r="B22" s="23"/>
      <c r="C22" s="101" t="s">
        <v>0</v>
      </c>
      <c r="D22" s="102"/>
      <c r="E22" s="102"/>
      <c r="F22" s="102"/>
      <c r="G22" s="102"/>
      <c r="H22" s="102"/>
      <c r="I22" s="25"/>
      <c r="J22" s="103" t="s">
        <v>0</v>
      </c>
      <c r="K22" s="101"/>
      <c r="L22" s="101"/>
      <c r="M22" s="101"/>
      <c r="N22" s="101"/>
      <c r="O22" s="102"/>
      <c r="P22" s="102"/>
      <c r="Q22" s="102"/>
      <c r="R22" s="102"/>
      <c r="S22" s="104"/>
    </row>
    <row r="23" spans="2:19" s="22" customFormat="1" x14ac:dyDescent="0.25">
      <c r="B23" s="23"/>
      <c r="C23" s="105" t="s">
        <v>113</v>
      </c>
      <c r="D23" s="106">
        <f>D12*D14</f>
        <v>410625</v>
      </c>
      <c r="E23" s="106">
        <f>E12*E14</f>
        <v>520125</v>
      </c>
      <c r="F23" s="106">
        <f>F12*F14</f>
        <v>545492.5</v>
      </c>
      <c r="G23" s="106">
        <f>G12*G14</f>
        <v>565750</v>
      </c>
      <c r="H23" s="106">
        <f>H12*H14</f>
        <v>586372.5</v>
      </c>
      <c r="I23" s="25"/>
      <c r="J23" s="107" t="s">
        <v>113</v>
      </c>
      <c r="K23" s="106">
        <f>'Historic P&amp;L'!C19</f>
        <v>275940</v>
      </c>
      <c r="L23" s="106">
        <f>'Historic P&amp;L'!D19</f>
        <v>302493.75</v>
      </c>
      <c r="M23" s="106">
        <f>'Historic P&amp;L'!E19</f>
        <v>344924.99999999994</v>
      </c>
      <c r="N23" s="106"/>
      <c r="O23" s="106">
        <f t="shared" ref="O23:S24" si="6">D23</f>
        <v>410625</v>
      </c>
      <c r="P23" s="106">
        <f t="shared" si="6"/>
        <v>520125</v>
      </c>
      <c r="Q23" s="106">
        <f t="shared" si="6"/>
        <v>545492.5</v>
      </c>
      <c r="R23" s="106">
        <f t="shared" si="6"/>
        <v>565750</v>
      </c>
      <c r="S23" s="108">
        <f t="shared" si="6"/>
        <v>586372.5</v>
      </c>
    </row>
    <row r="24" spans="2:19" s="22" customFormat="1" x14ac:dyDescent="0.25">
      <c r="B24" s="23"/>
      <c r="C24" s="105" t="s">
        <v>134</v>
      </c>
      <c r="D24" s="106">
        <f>D18*D20</f>
        <v>82500</v>
      </c>
      <c r="E24" s="106">
        <f t="shared" ref="E24:H24" si="7">E18*E20</f>
        <v>86250</v>
      </c>
      <c r="F24" s="106">
        <f t="shared" si="7"/>
        <v>90000</v>
      </c>
      <c r="G24" s="106">
        <f t="shared" si="7"/>
        <v>97500</v>
      </c>
      <c r="H24" s="106">
        <f t="shared" si="7"/>
        <v>101400</v>
      </c>
      <c r="I24" s="25"/>
      <c r="J24" s="107" t="s">
        <v>134</v>
      </c>
      <c r="K24" s="106">
        <f>'Historic P&amp;L'!C20</f>
        <v>52500</v>
      </c>
      <c r="L24" s="106">
        <f>'Historic P&amp;L'!D20</f>
        <v>63000</v>
      </c>
      <c r="M24" s="106">
        <f>'Historic P&amp;L'!E20</f>
        <v>70875</v>
      </c>
      <c r="N24" s="106"/>
      <c r="O24" s="106">
        <f t="shared" si="6"/>
        <v>82500</v>
      </c>
      <c r="P24" s="106">
        <f t="shared" si="6"/>
        <v>86250</v>
      </c>
      <c r="Q24" s="106">
        <f t="shared" si="6"/>
        <v>90000</v>
      </c>
      <c r="R24" s="106">
        <f t="shared" si="6"/>
        <v>97500</v>
      </c>
      <c r="S24" s="108">
        <f t="shared" si="6"/>
        <v>101400</v>
      </c>
    </row>
    <row r="25" spans="2:19" s="22" customFormat="1" x14ac:dyDescent="0.25">
      <c r="B25" s="23"/>
      <c r="C25" s="105" t="s">
        <v>116</v>
      </c>
      <c r="D25" s="203" t="s">
        <v>69</v>
      </c>
      <c r="E25" s="203"/>
      <c r="F25" s="203"/>
      <c r="G25" s="203"/>
      <c r="H25" s="203"/>
      <c r="I25" s="25"/>
      <c r="J25" s="107" t="s">
        <v>116</v>
      </c>
      <c r="K25" s="106">
        <f>'Historic P&amp;L'!C21</f>
        <v>150000</v>
      </c>
      <c r="L25" s="106">
        <f>'Historic P&amp;L'!D21</f>
        <v>410000</v>
      </c>
      <c r="M25" s="106">
        <f>'Historic P&amp;L'!E21</f>
        <v>420000</v>
      </c>
      <c r="N25" s="106"/>
      <c r="O25" s="106">
        <f>D68+D69</f>
        <v>401500</v>
      </c>
      <c r="P25" s="106">
        <f>E68+E69</f>
        <v>443000</v>
      </c>
      <c r="Q25" s="106">
        <f>F68+F69</f>
        <v>479500</v>
      </c>
      <c r="R25" s="106">
        <f>G68+G69</f>
        <v>498750</v>
      </c>
      <c r="S25" s="108">
        <f>H68+H69</f>
        <v>501750</v>
      </c>
    </row>
    <row r="26" spans="2:19" s="22" customFormat="1" x14ac:dyDescent="0.25">
      <c r="B26" s="23"/>
      <c r="C26" s="105" t="s">
        <v>151</v>
      </c>
      <c r="D26" s="203" t="s">
        <v>69</v>
      </c>
      <c r="E26" s="203"/>
      <c r="F26" s="203"/>
      <c r="G26" s="203"/>
      <c r="H26" s="203"/>
      <c r="I26" s="25"/>
      <c r="J26" s="107" t="s">
        <v>151</v>
      </c>
      <c r="K26" s="106">
        <f>'Historic P&amp;L'!C22</f>
        <v>80000</v>
      </c>
      <c r="L26" s="106">
        <f>'Historic P&amp;L'!D22</f>
        <v>85000</v>
      </c>
      <c r="M26" s="106">
        <f>'Historic P&amp;L'!E22</f>
        <v>86000</v>
      </c>
      <c r="N26" s="106"/>
      <c r="O26" s="106">
        <f>D78</f>
        <v>82000</v>
      </c>
      <c r="P26" s="106">
        <f>E78</f>
        <v>82000</v>
      </c>
      <c r="Q26" s="106">
        <f>F78</f>
        <v>82000</v>
      </c>
      <c r="R26" s="106">
        <f>G78</f>
        <v>111250</v>
      </c>
      <c r="S26" s="108">
        <f>H78</f>
        <v>111250</v>
      </c>
    </row>
    <row r="27" spans="2:19" s="22" customFormat="1" x14ac:dyDescent="0.25">
      <c r="B27" s="90" t="s">
        <v>135</v>
      </c>
      <c r="C27" s="105" t="s">
        <v>13</v>
      </c>
      <c r="D27" s="109">
        <v>0.02</v>
      </c>
      <c r="E27" s="109">
        <v>0.02</v>
      </c>
      <c r="F27" s="109">
        <v>0.03</v>
      </c>
      <c r="G27" s="109">
        <v>0.03</v>
      </c>
      <c r="H27" s="109">
        <v>0.03</v>
      </c>
      <c r="I27" s="25"/>
      <c r="J27" s="107" t="s">
        <v>13</v>
      </c>
      <c r="K27" s="106">
        <f>'Historic P&amp;L'!C23</f>
        <v>50000</v>
      </c>
      <c r="L27" s="106">
        <f>'Historic P&amp;L'!D23</f>
        <v>55000</v>
      </c>
      <c r="M27" s="106">
        <f>'Historic P&amp;L'!E23</f>
        <v>60000</v>
      </c>
      <c r="N27" s="106"/>
      <c r="O27" s="106">
        <f>D27*(D23+D24)</f>
        <v>9862.5</v>
      </c>
      <c r="P27" s="106">
        <f t="shared" ref="P27:S27" si="8">E27*(E23+E24)</f>
        <v>12127.5</v>
      </c>
      <c r="Q27" s="106">
        <f t="shared" si="8"/>
        <v>19064.774999999998</v>
      </c>
      <c r="R27" s="106">
        <f t="shared" si="8"/>
        <v>19897.5</v>
      </c>
      <c r="S27" s="108">
        <f t="shared" si="8"/>
        <v>20633.174999999999</v>
      </c>
    </row>
    <row r="28" spans="2:19" s="22" customFormat="1" x14ac:dyDescent="0.25">
      <c r="B28" s="23"/>
      <c r="C28" s="110" t="s">
        <v>1</v>
      </c>
      <c r="D28" s="111"/>
      <c r="E28" s="111"/>
      <c r="F28" s="111"/>
      <c r="G28" s="111"/>
      <c r="H28" s="111"/>
      <c r="I28" s="25"/>
      <c r="J28" s="112" t="s">
        <v>1</v>
      </c>
      <c r="K28" s="111">
        <f>SUM(K23:K27)</f>
        <v>608440</v>
      </c>
      <c r="L28" s="111">
        <f>SUM(L23:L27)</f>
        <v>915493.75</v>
      </c>
      <c r="M28" s="111">
        <f>SUM(M23:M27)</f>
        <v>981800</v>
      </c>
      <c r="N28" s="111"/>
      <c r="O28" s="111">
        <f>SUM(O23:O27)</f>
        <v>986487.5</v>
      </c>
      <c r="P28" s="111">
        <f>SUM(P23:P27)</f>
        <v>1143502.5</v>
      </c>
      <c r="Q28" s="111">
        <f>SUM(Q23:Q27)</f>
        <v>1216057.2749999999</v>
      </c>
      <c r="R28" s="111">
        <f>SUM(R23:R27)</f>
        <v>1293147.5</v>
      </c>
      <c r="S28" s="113">
        <f>SUM(S23:S27)</f>
        <v>1321405.675</v>
      </c>
    </row>
    <row r="29" spans="2:19" s="22" customFormat="1" x14ac:dyDescent="0.25">
      <c r="B29" s="23"/>
      <c r="C29" s="114"/>
      <c r="D29" s="35"/>
      <c r="E29" s="35"/>
      <c r="F29" s="35"/>
      <c r="G29" s="35"/>
      <c r="H29" s="35"/>
      <c r="I29" s="25"/>
      <c r="J29" s="115"/>
      <c r="K29" s="116"/>
      <c r="L29" s="116"/>
      <c r="M29" s="116"/>
      <c r="N29" s="116"/>
      <c r="O29" s="35"/>
      <c r="P29" s="35"/>
      <c r="Q29" s="35"/>
      <c r="R29" s="35"/>
      <c r="S29" s="36"/>
    </row>
    <row r="30" spans="2:19" s="22" customFormat="1" x14ac:dyDescent="0.25">
      <c r="B30" s="23"/>
      <c r="C30" s="117" t="s">
        <v>14</v>
      </c>
      <c r="D30" s="35"/>
      <c r="E30" s="35"/>
      <c r="F30" s="35"/>
      <c r="G30" s="35"/>
      <c r="H30" s="35"/>
      <c r="I30" s="25"/>
      <c r="J30" s="118" t="s">
        <v>14</v>
      </c>
      <c r="K30" s="116"/>
      <c r="L30" s="116"/>
      <c r="M30" s="116"/>
      <c r="N30" s="116"/>
      <c r="O30" s="35"/>
      <c r="P30" s="35"/>
      <c r="Q30" s="35"/>
      <c r="R30" s="35"/>
      <c r="S30" s="36"/>
    </row>
    <row r="31" spans="2:19" s="22" customFormat="1" x14ac:dyDescent="0.25">
      <c r="B31" s="90" t="s">
        <v>139</v>
      </c>
      <c r="C31" s="114" t="s">
        <v>137</v>
      </c>
      <c r="D31" s="119">
        <v>0.18</v>
      </c>
      <c r="E31" s="119">
        <v>0.2</v>
      </c>
      <c r="F31" s="119">
        <v>0.2</v>
      </c>
      <c r="G31" s="119">
        <v>0.2</v>
      </c>
      <c r="H31" s="119">
        <v>0.2</v>
      </c>
      <c r="I31" s="25"/>
      <c r="J31" s="115" t="s">
        <v>165</v>
      </c>
      <c r="K31" s="35">
        <f>'Historic P&amp;L'!C27</f>
        <v>62403.6</v>
      </c>
      <c r="L31" s="35">
        <f>'Historic P&amp;L'!D27</f>
        <v>69443.8125</v>
      </c>
      <c r="M31" s="35">
        <f>'Historic P&amp;L'!E27</f>
        <v>79001.999999999985</v>
      </c>
      <c r="N31" s="35"/>
      <c r="O31" s="35">
        <f>D31*(O23+O24)</f>
        <v>88762.5</v>
      </c>
      <c r="P31" s="35">
        <f>E31*(P23+P24)</f>
        <v>121275</v>
      </c>
      <c r="Q31" s="35">
        <f>F31*(Q23+Q24)</f>
        <v>127098.5</v>
      </c>
      <c r="R31" s="35">
        <f>G31*(R23+R24)</f>
        <v>132650</v>
      </c>
      <c r="S31" s="36">
        <f>H31*(S23+S24)</f>
        <v>137554.5</v>
      </c>
    </row>
    <row r="32" spans="2:19" s="22" customFormat="1" x14ac:dyDescent="0.25">
      <c r="B32" s="90" t="s">
        <v>139</v>
      </c>
      <c r="C32" s="114" t="s">
        <v>138</v>
      </c>
      <c r="D32" s="119">
        <v>0.1</v>
      </c>
      <c r="E32" s="119">
        <v>0.1</v>
      </c>
      <c r="F32" s="119">
        <v>0.1</v>
      </c>
      <c r="G32" s="119">
        <v>0.1</v>
      </c>
      <c r="H32" s="119">
        <v>0.1</v>
      </c>
      <c r="I32" s="25"/>
      <c r="J32" s="115" t="s">
        <v>166</v>
      </c>
      <c r="K32" s="35">
        <f>'Historic P&amp;L'!C28</f>
        <v>26275.200000000001</v>
      </c>
      <c r="L32" s="35">
        <f>'Historic P&amp;L'!D28</f>
        <v>29239.5</v>
      </c>
      <c r="M32" s="35">
        <f>'Historic P&amp;L'!E28</f>
        <v>33263.999999999993</v>
      </c>
      <c r="N32" s="35"/>
      <c r="O32" s="35">
        <f>D32*(O23+O24)</f>
        <v>49312.5</v>
      </c>
      <c r="P32" s="35">
        <f>E32*(P23+P24)</f>
        <v>60637.5</v>
      </c>
      <c r="Q32" s="35">
        <f>F32*(Q23+Q24)</f>
        <v>63549.25</v>
      </c>
      <c r="R32" s="35">
        <f>G32*(R23+R24)</f>
        <v>66325</v>
      </c>
      <c r="S32" s="36">
        <f>H32*(S23+S24)</f>
        <v>68777.25</v>
      </c>
    </row>
    <row r="33" spans="2:19" s="22" customFormat="1" x14ac:dyDescent="0.25">
      <c r="B33" s="90" t="s">
        <v>31</v>
      </c>
      <c r="C33" s="114" t="s">
        <v>15</v>
      </c>
      <c r="D33" s="119">
        <v>0.25</v>
      </c>
      <c r="E33" s="119">
        <v>0.3</v>
      </c>
      <c r="F33" s="119">
        <v>0.3</v>
      </c>
      <c r="G33" s="119">
        <v>0.3</v>
      </c>
      <c r="H33" s="119">
        <v>0.3</v>
      </c>
      <c r="I33" s="25"/>
      <c r="J33" s="115" t="s">
        <v>15</v>
      </c>
      <c r="K33" s="35">
        <f>'Historic P&amp;L'!C29</f>
        <v>43500</v>
      </c>
      <c r="L33" s="35">
        <f>'Historic P&amp;L'!D29</f>
        <v>118899.99999999999</v>
      </c>
      <c r="M33" s="35">
        <f>'Historic P&amp;L'!E29</f>
        <v>121799.99999999999</v>
      </c>
      <c r="N33" s="35"/>
      <c r="O33" s="35">
        <f>D33*O25</f>
        <v>100375</v>
      </c>
      <c r="P33" s="35">
        <f>E33*P25</f>
        <v>132900</v>
      </c>
      <c r="Q33" s="35">
        <f>F33*Q25</f>
        <v>143850</v>
      </c>
      <c r="R33" s="35">
        <f>G33*R25</f>
        <v>149625</v>
      </c>
      <c r="S33" s="36">
        <f>H33*S25</f>
        <v>150525</v>
      </c>
    </row>
    <row r="34" spans="2:19" s="22" customFormat="1" x14ac:dyDescent="0.25">
      <c r="B34" s="90" t="s">
        <v>31</v>
      </c>
      <c r="C34" s="114" t="s">
        <v>16</v>
      </c>
      <c r="D34" s="119">
        <v>0.32</v>
      </c>
      <c r="E34" s="119">
        <v>0.31</v>
      </c>
      <c r="F34" s="119">
        <v>0.31</v>
      </c>
      <c r="G34" s="119">
        <v>0.31</v>
      </c>
      <c r="H34" s="119">
        <v>0.31</v>
      </c>
      <c r="I34" s="25"/>
      <c r="J34" s="115" t="s">
        <v>16</v>
      </c>
      <c r="K34" s="35">
        <f>'Historic P&amp;L'!C30</f>
        <v>43500</v>
      </c>
      <c r="L34" s="35">
        <f>'Historic P&amp;L'!D30</f>
        <v>118899.99999999999</v>
      </c>
      <c r="M34" s="35">
        <f>'Historic P&amp;L'!E30</f>
        <v>121799.99999999999</v>
      </c>
      <c r="N34" s="35"/>
      <c r="O34" s="35">
        <f>D34*O25</f>
        <v>128480</v>
      </c>
      <c r="P34" s="35">
        <f>E34*P25</f>
        <v>137330</v>
      </c>
      <c r="Q34" s="35">
        <f>F34*Q25</f>
        <v>148645</v>
      </c>
      <c r="R34" s="35">
        <f>G34*R25</f>
        <v>154612.5</v>
      </c>
      <c r="S34" s="36">
        <f>H34*S25</f>
        <v>155542.5</v>
      </c>
    </row>
    <row r="35" spans="2:19" s="22" customFormat="1" x14ac:dyDescent="0.25">
      <c r="B35" s="90" t="s">
        <v>31</v>
      </c>
      <c r="C35" s="120" t="s">
        <v>17</v>
      </c>
      <c r="D35" s="109">
        <v>0.1</v>
      </c>
      <c r="E35" s="109">
        <v>0.1</v>
      </c>
      <c r="F35" s="109">
        <v>0.1</v>
      </c>
      <c r="G35" s="109">
        <v>0.1</v>
      </c>
      <c r="H35" s="109">
        <v>0.1</v>
      </c>
      <c r="I35" s="25"/>
      <c r="J35" s="121" t="s">
        <v>17</v>
      </c>
      <c r="K35" s="35">
        <f>'Historic P&amp;L'!C31</f>
        <v>7500</v>
      </c>
      <c r="L35" s="35">
        <f>'Historic P&amp;L'!D31</f>
        <v>20500</v>
      </c>
      <c r="M35" s="35">
        <f>'Historic P&amp;L'!E31</f>
        <v>21000</v>
      </c>
      <c r="N35" s="35"/>
      <c r="O35" s="35">
        <f>D35*O25</f>
        <v>40150</v>
      </c>
      <c r="P35" s="35">
        <f>E35*P25</f>
        <v>44300</v>
      </c>
      <c r="Q35" s="35">
        <f>F35*Q25</f>
        <v>47950</v>
      </c>
      <c r="R35" s="35">
        <f>G35*R25</f>
        <v>49875</v>
      </c>
      <c r="S35" s="36">
        <f>H35*S25</f>
        <v>50175</v>
      </c>
    </row>
    <row r="36" spans="2:19" s="22" customFormat="1" x14ac:dyDescent="0.25">
      <c r="B36" s="90" t="s">
        <v>159</v>
      </c>
      <c r="C36" s="122" t="s">
        <v>152</v>
      </c>
      <c r="D36" s="109">
        <v>0.2</v>
      </c>
      <c r="E36" s="109">
        <v>0.25</v>
      </c>
      <c r="F36" s="109">
        <v>0.25</v>
      </c>
      <c r="G36" s="109">
        <v>0.25</v>
      </c>
      <c r="H36" s="109">
        <v>0.25</v>
      </c>
      <c r="I36" s="25"/>
      <c r="J36" s="123" t="s">
        <v>152</v>
      </c>
      <c r="K36" s="35">
        <f>'Historic P&amp;L'!C32</f>
        <v>15200</v>
      </c>
      <c r="L36" s="35">
        <f>'Historic P&amp;L'!D32</f>
        <v>16150</v>
      </c>
      <c r="M36" s="35">
        <f>'Historic P&amp;L'!E32</f>
        <v>16340</v>
      </c>
      <c r="N36" s="35"/>
      <c r="O36" s="35">
        <f>D36*O26</f>
        <v>16400</v>
      </c>
      <c r="P36" s="35">
        <f t="shared" ref="P36:S36" si="9">E36*P26</f>
        <v>20500</v>
      </c>
      <c r="Q36" s="35">
        <f t="shared" si="9"/>
        <v>20500</v>
      </c>
      <c r="R36" s="35">
        <f t="shared" si="9"/>
        <v>27812.5</v>
      </c>
      <c r="S36" s="36">
        <f t="shared" si="9"/>
        <v>27812.5</v>
      </c>
    </row>
    <row r="37" spans="2:19" s="22" customFormat="1" x14ac:dyDescent="0.25">
      <c r="B37" s="90" t="s">
        <v>159</v>
      </c>
      <c r="C37" s="122" t="s">
        <v>153</v>
      </c>
      <c r="D37" s="109">
        <v>0.15</v>
      </c>
      <c r="E37" s="109">
        <v>0.15</v>
      </c>
      <c r="F37" s="109">
        <v>0.15</v>
      </c>
      <c r="G37" s="109">
        <v>0.15</v>
      </c>
      <c r="H37" s="109">
        <v>0.15</v>
      </c>
      <c r="I37" s="25"/>
      <c r="J37" s="123" t="s">
        <v>153</v>
      </c>
      <c r="K37" s="35">
        <f>'Historic P&amp;L'!C33</f>
        <v>12000</v>
      </c>
      <c r="L37" s="35">
        <f>'Historic P&amp;L'!D33</f>
        <v>12750</v>
      </c>
      <c r="M37" s="35">
        <f>'Historic P&amp;L'!E33</f>
        <v>12900</v>
      </c>
      <c r="N37" s="35"/>
      <c r="O37" s="35">
        <f>D37*O26</f>
        <v>12300</v>
      </c>
      <c r="P37" s="35">
        <f t="shared" ref="P37:S37" si="10">E37*P26</f>
        <v>12300</v>
      </c>
      <c r="Q37" s="35">
        <f t="shared" si="10"/>
        <v>12300</v>
      </c>
      <c r="R37" s="35">
        <f t="shared" si="10"/>
        <v>16687.5</v>
      </c>
      <c r="S37" s="36">
        <f t="shared" si="10"/>
        <v>16687.5</v>
      </c>
    </row>
    <row r="38" spans="2:19" s="22" customFormat="1" x14ac:dyDescent="0.25">
      <c r="B38" s="90" t="s">
        <v>159</v>
      </c>
      <c r="C38" s="122" t="s">
        <v>154</v>
      </c>
      <c r="D38" s="109">
        <v>0.25</v>
      </c>
      <c r="E38" s="109">
        <v>0.25</v>
      </c>
      <c r="F38" s="109">
        <v>0.25</v>
      </c>
      <c r="G38" s="109">
        <v>0.25</v>
      </c>
      <c r="H38" s="109">
        <v>0.25</v>
      </c>
      <c r="I38" s="25"/>
      <c r="J38" s="123" t="s">
        <v>154</v>
      </c>
      <c r="K38" s="35">
        <f>'Historic P&amp;L'!C34</f>
        <v>20000</v>
      </c>
      <c r="L38" s="35">
        <f>'Historic P&amp;L'!D34</f>
        <v>21250</v>
      </c>
      <c r="M38" s="35">
        <f>'Historic P&amp;L'!E34</f>
        <v>21500</v>
      </c>
      <c r="N38" s="35"/>
      <c r="O38" s="35">
        <f>D38*O26</f>
        <v>20500</v>
      </c>
      <c r="P38" s="35">
        <f t="shared" ref="P38:S38" si="11">E38*P26</f>
        <v>20500</v>
      </c>
      <c r="Q38" s="35">
        <f t="shared" si="11"/>
        <v>20500</v>
      </c>
      <c r="R38" s="35">
        <f t="shared" si="11"/>
        <v>27812.5</v>
      </c>
      <c r="S38" s="36">
        <f t="shared" si="11"/>
        <v>27812.5</v>
      </c>
    </row>
    <row r="39" spans="2:19" s="22" customFormat="1" x14ac:dyDescent="0.25">
      <c r="B39" s="90" t="s">
        <v>87</v>
      </c>
      <c r="C39" s="120" t="s">
        <v>92</v>
      </c>
      <c r="D39" s="109">
        <v>0.3</v>
      </c>
      <c r="E39" s="109">
        <v>0.25</v>
      </c>
      <c r="F39" s="109">
        <v>0.25</v>
      </c>
      <c r="G39" s="109">
        <v>0.25</v>
      </c>
      <c r="H39" s="109">
        <v>0.25</v>
      </c>
      <c r="I39" s="25"/>
      <c r="J39" s="121" t="s">
        <v>86</v>
      </c>
      <c r="K39" s="35">
        <f>'Historic P&amp;L'!C35</f>
        <v>10000</v>
      </c>
      <c r="L39" s="35">
        <f>'Historic P&amp;L'!D35</f>
        <v>11000</v>
      </c>
      <c r="M39" s="35">
        <f>'Historic P&amp;L'!E35</f>
        <v>12000</v>
      </c>
      <c r="N39" s="35"/>
      <c r="O39" s="35">
        <f>D39*O27</f>
        <v>2958.75</v>
      </c>
      <c r="P39" s="35">
        <f>E39*P27</f>
        <v>3031.875</v>
      </c>
      <c r="Q39" s="35">
        <f>F39*Q27</f>
        <v>4766.1937499999995</v>
      </c>
      <c r="R39" s="35">
        <f>G39*R27</f>
        <v>4974.375</v>
      </c>
      <c r="S39" s="36">
        <f>H39*S27</f>
        <v>5158.2937499999998</v>
      </c>
    </row>
    <row r="40" spans="2:19" s="22" customFormat="1" x14ac:dyDescent="0.25">
      <c r="B40" s="23"/>
      <c r="C40" s="110" t="s">
        <v>18</v>
      </c>
      <c r="D40" s="111"/>
      <c r="E40" s="111"/>
      <c r="F40" s="111"/>
      <c r="G40" s="111"/>
      <c r="H40" s="111"/>
      <c r="I40" s="25"/>
      <c r="J40" s="112" t="s">
        <v>18</v>
      </c>
      <c r="K40" s="111">
        <f>SUM(K31:K39)</f>
        <v>240378.8</v>
      </c>
      <c r="L40" s="111">
        <f t="shared" ref="L40:M40" si="12">SUM(L31:L39)</f>
        <v>418133.3125</v>
      </c>
      <c r="M40" s="111">
        <f t="shared" si="12"/>
        <v>439605.99999999994</v>
      </c>
      <c r="N40" s="111"/>
      <c r="O40" s="111">
        <f t="shared" ref="O40" si="13">SUM(O31:O39)</f>
        <v>459238.75</v>
      </c>
      <c r="P40" s="111">
        <f t="shared" ref="P40" si="14">SUM(P31:P39)</f>
        <v>552774.375</v>
      </c>
      <c r="Q40" s="111">
        <f t="shared" ref="Q40" si="15">SUM(Q31:Q39)</f>
        <v>589158.94374999998</v>
      </c>
      <c r="R40" s="111">
        <f t="shared" ref="R40" si="16">SUM(R31:R39)</f>
        <v>630374.375</v>
      </c>
      <c r="S40" s="113">
        <f t="shared" ref="S40" si="17">SUM(S31:S39)</f>
        <v>640045.04374999995</v>
      </c>
    </row>
    <row r="41" spans="2:19" s="22" customFormat="1" x14ac:dyDescent="0.25">
      <c r="B41" s="23"/>
      <c r="C41" s="114"/>
      <c r="D41" s="124"/>
      <c r="E41" s="35"/>
      <c r="F41" s="35"/>
      <c r="G41" s="35"/>
      <c r="H41" s="35"/>
      <c r="I41" s="25"/>
      <c r="J41" s="115"/>
      <c r="K41" s="114"/>
      <c r="L41" s="114"/>
      <c r="M41" s="114"/>
      <c r="N41" s="114"/>
      <c r="O41" s="124"/>
      <c r="P41" s="35"/>
      <c r="Q41" s="35"/>
      <c r="R41" s="35"/>
      <c r="S41" s="36"/>
    </row>
    <row r="42" spans="2:19" s="22" customFormat="1" x14ac:dyDescent="0.25">
      <c r="B42" s="23"/>
      <c r="C42" s="117" t="s">
        <v>19</v>
      </c>
      <c r="D42" s="102"/>
      <c r="E42" s="125"/>
      <c r="F42" s="125"/>
      <c r="G42" s="125"/>
      <c r="H42" s="125"/>
      <c r="I42" s="25"/>
      <c r="J42" s="118" t="s">
        <v>19</v>
      </c>
      <c r="K42" s="117"/>
      <c r="L42" s="117"/>
      <c r="M42" s="117"/>
      <c r="N42" s="117"/>
      <c r="O42" s="102"/>
      <c r="P42" s="125"/>
      <c r="Q42" s="125"/>
      <c r="R42" s="125"/>
      <c r="S42" s="126"/>
    </row>
    <row r="43" spans="2:19" s="22" customFormat="1" x14ac:dyDescent="0.25">
      <c r="B43" s="90" t="s">
        <v>32</v>
      </c>
      <c r="C43" s="114" t="s">
        <v>38</v>
      </c>
      <c r="D43" s="119">
        <v>0.08</v>
      </c>
      <c r="E43" s="119">
        <v>0.1</v>
      </c>
      <c r="F43" s="119">
        <v>0.1</v>
      </c>
      <c r="G43" s="119">
        <v>0.1</v>
      </c>
      <c r="H43" s="119">
        <v>0.1</v>
      </c>
      <c r="I43" s="25"/>
      <c r="J43" s="115" t="s">
        <v>38</v>
      </c>
      <c r="K43" s="35">
        <f>'Historic P&amp;L'!C39</f>
        <v>91266</v>
      </c>
      <c r="L43" s="35">
        <f>'Historic P&amp;L'!D39</f>
        <v>137324.0625</v>
      </c>
      <c r="M43" s="35">
        <f>'Historic P&amp;L'!E39</f>
        <v>147270</v>
      </c>
      <c r="N43" s="35"/>
      <c r="O43" s="35">
        <f>D43*O28</f>
        <v>78919</v>
      </c>
      <c r="P43" s="35">
        <f>E43*P28</f>
        <v>114350.25</v>
      </c>
      <c r="Q43" s="35">
        <f>F43*Q28</f>
        <v>121605.72749999999</v>
      </c>
      <c r="R43" s="35">
        <f>G43*R28</f>
        <v>129314.75</v>
      </c>
      <c r="S43" s="36">
        <f>H43*S28</f>
        <v>132140.5675</v>
      </c>
    </row>
    <row r="44" spans="2:19" s="22" customFormat="1" x14ac:dyDescent="0.25">
      <c r="B44" s="90" t="s">
        <v>32</v>
      </c>
      <c r="C44" s="120" t="s">
        <v>2</v>
      </c>
      <c r="D44" s="119">
        <v>0.05</v>
      </c>
      <c r="E44" s="119">
        <v>5.5E-2</v>
      </c>
      <c r="F44" s="119">
        <v>0.05</v>
      </c>
      <c r="G44" s="119">
        <v>0.05</v>
      </c>
      <c r="H44" s="119">
        <v>0.05</v>
      </c>
      <c r="I44" s="25"/>
      <c r="J44" s="121" t="s">
        <v>2</v>
      </c>
      <c r="K44" s="35">
        <f>'Historic P&amp;L'!C40</f>
        <v>30422</v>
      </c>
      <c r="L44" s="35">
        <f>'Historic P&amp;L'!D40</f>
        <v>45774.6875</v>
      </c>
      <c r="M44" s="35">
        <f>'Historic P&amp;L'!E40</f>
        <v>49090</v>
      </c>
      <c r="N44" s="35"/>
      <c r="O44" s="35">
        <f>D44*O28</f>
        <v>49324.375</v>
      </c>
      <c r="P44" s="35">
        <f>E44*P28</f>
        <v>62892.637499999997</v>
      </c>
      <c r="Q44" s="35">
        <f>F44*Q28</f>
        <v>60802.863749999997</v>
      </c>
      <c r="R44" s="35">
        <f>G44*R28</f>
        <v>64657.375</v>
      </c>
      <c r="S44" s="36">
        <f>H44*S28</f>
        <v>66070.283750000002</v>
      </c>
    </row>
    <row r="45" spans="2:19" s="22" customFormat="1" x14ac:dyDescent="0.25">
      <c r="B45" s="90" t="s">
        <v>32</v>
      </c>
      <c r="C45" s="25" t="s">
        <v>3</v>
      </c>
      <c r="D45" s="119">
        <v>0.03</v>
      </c>
      <c r="E45" s="119">
        <v>0.03</v>
      </c>
      <c r="F45" s="119">
        <v>0.03</v>
      </c>
      <c r="G45" s="119">
        <v>0.03</v>
      </c>
      <c r="H45" s="119">
        <v>0.03</v>
      </c>
      <c r="I45" s="25"/>
      <c r="J45" s="23" t="s">
        <v>3</v>
      </c>
      <c r="K45" s="35">
        <f>'Historic P&amp;L'!C41</f>
        <v>18253.2</v>
      </c>
      <c r="L45" s="35">
        <f>'Historic P&amp;L'!D41</f>
        <v>27464.8125</v>
      </c>
      <c r="M45" s="35">
        <f>'Historic P&amp;L'!E41</f>
        <v>29454</v>
      </c>
      <c r="N45" s="35"/>
      <c r="O45" s="35">
        <f>D45*O28</f>
        <v>29594.625</v>
      </c>
      <c r="P45" s="35">
        <f>E45*P28</f>
        <v>34305.074999999997</v>
      </c>
      <c r="Q45" s="35">
        <f>F45*Q28</f>
        <v>36481.718249999998</v>
      </c>
      <c r="R45" s="35">
        <f>G45*R28</f>
        <v>38794.424999999996</v>
      </c>
      <c r="S45" s="36">
        <f>H45*S28</f>
        <v>39642.170250000003</v>
      </c>
    </row>
    <row r="46" spans="2:19" s="22" customFormat="1" x14ac:dyDescent="0.25">
      <c r="B46" s="90" t="s">
        <v>32</v>
      </c>
      <c r="C46" s="25" t="s">
        <v>4</v>
      </c>
      <c r="D46" s="119">
        <v>0.03</v>
      </c>
      <c r="E46" s="119">
        <v>0.03</v>
      </c>
      <c r="F46" s="119">
        <v>0.03</v>
      </c>
      <c r="G46" s="119">
        <v>0.03</v>
      </c>
      <c r="H46" s="119">
        <v>0.03</v>
      </c>
      <c r="I46" s="25"/>
      <c r="J46" s="23" t="s">
        <v>4</v>
      </c>
      <c r="K46" s="35">
        <f>'Historic P&amp;L'!C42</f>
        <v>24337.600000000002</v>
      </c>
      <c r="L46" s="35">
        <f>'Historic P&amp;L'!D42</f>
        <v>36619.75</v>
      </c>
      <c r="M46" s="35">
        <f>'Historic P&amp;L'!E42</f>
        <v>39272</v>
      </c>
      <c r="N46" s="35"/>
      <c r="O46" s="35">
        <f>D46*O28</f>
        <v>29594.625</v>
      </c>
      <c r="P46" s="35">
        <f>E46*P28</f>
        <v>34305.074999999997</v>
      </c>
      <c r="Q46" s="35">
        <f>F46*Q28</f>
        <v>36481.718249999998</v>
      </c>
      <c r="R46" s="35">
        <f>G46*R28</f>
        <v>38794.424999999996</v>
      </c>
      <c r="S46" s="36">
        <f>H46*S28</f>
        <v>39642.170250000003</v>
      </c>
    </row>
    <row r="47" spans="2:19" s="22" customFormat="1" x14ac:dyDescent="0.25">
      <c r="B47" s="90" t="s">
        <v>32</v>
      </c>
      <c r="C47" s="25" t="s">
        <v>5</v>
      </c>
      <c r="D47" s="109">
        <v>0.04</v>
      </c>
      <c r="E47" s="109">
        <v>0.04</v>
      </c>
      <c r="F47" s="109">
        <v>0.04</v>
      </c>
      <c r="G47" s="109">
        <v>0.04</v>
      </c>
      <c r="H47" s="109">
        <v>0.04</v>
      </c>
      <c r="I47" s="25"/>
      <c r="J47" s="23" t="s">
        <v>5</v>
      </c>
      <c r="K47" s="35">
        <f>'Historic P&amp;L'!C43</f>
        <v>30422</v>
      </c>
      <c r="L47" s="35">
        <f>'Historic P&amp;L'!D43</f>
        <v>45774.6875</v>
      </c>
      <c r="M47" s="35">
        <f>'Historic P&amp;L'!E43</f>
        <v>49090</v>
      </c>
      <c r="N47" s="35"/>
      <c r="O47" s="35">
        <f>D47*O28</f>
        <v>39459.5</v>
      </c>
      <c r="P47" s="35">
        <f>E47*P28</f>
        <v>45740.1</v>
      </c>
      <c r="Q47" s="35">
        <f>F47*Q28</f>
        <v>48642.290999999997</v>
      </c>
      <c r="R47" s="35">
        <f>G47*R28</f>
        <v>51725.9</v>
      </c>
      <c r="S47" s="36">
        <f>H47*S28</f>
        <v>52856.227000000006</v>
      </c>
    </row>
    <row r="48" spans="2:19" s="22" customFormat="1" x14ac:dyDescent="0.25">
      <c r="B48" s="23"/>
      <c r="C48" s="110" t="s">
        <v>20</v>
      </c>
      <c r="D48" s="111"/>
      <c r="E48" s="111"/>
      <c r="F48" s="111"/>
      <c r="G48" s="111"/>
      <c r="H48" s="111"/>
      <c r="I48" s="25"/>
      <c r="J48" s="112" t="s">
        <v>20</v>
      </c>
      <c r="K48" s="111">
        <f t="shared" ref="K48:M48" si="18">SUM(K43:K47)</f>
        <v>194700.80000000002</v>
      </c>
      <c r="L48" s="111">
        <f t="shared" si="18"/>
        <v>292958</v>
      </c>
      <c r="M48" s="111">
        <f t="shared" si="18"/>
        <v>314176</v>
      </c>
      <c r="N48" s="111"/>
      <c r="O48" s="111">
        <f>SUM(O43:O47)</f>
        <v>226892.125</v>
      </c>
      <c r="P48" s="111">
        <f t="shared" ref="P48:S48" si="19">SUM(P43:P47)</f>
        <v>291593.13750000001</v>
      </c>
      <c r="Q48" s="111">
        <f t="shared" si="19"/>
        <v>304014.31874999998</v>
      </c>
      <c r="R48" s="111">
        <f t="shared" si="19"/>
        <v>323286.875</v>
      </c>
      <c r="S48" s="113">
        <f t="shared" si="19"/>
        <v>330351.41875000001</v>
      </c>
    </row>
    <row r="49" spans="2:19" s="22" customFormat="1" x14ac:dyDescent="0.25">
      <c r="B49" s="23"/>
      <c r="C49" s="25"/>
      <c r="D49" s="106"/>
      <c r="E49" s="127"/>
      <c r="F49" s="127"/>
      <c r="G49" s="127"/>
      <c r="H49" s="127"/>
      <c r="I49" s="25"/>
      <c r="J49" s="23"/>
      <c r="K49" s="25"/>
      <c r="L49" s="25"/>
      <c r="M49" s="25"/>
      <c r="N49" s="25"/>
      <c r="O49" s="106"/>
      <c r="P49" s="127"/>
      <c r="Q49" s="127"/>
      <c r="R49" s="127"/>
      <c r="S49" s="128"/>
    </row>
    <row r="50" spans="2:19" s="22" customFormat="1" x14ac:dyDescent="0.25">
      <c r="B50" s="23"/>
      <c r="C50" s="129" t="s">
        <v>22</v>
      </c>
      <c r="D50" s="106">
        <f>D28-D40-D48</f>
        <v>0</v>
      </c>
      <c r="E50" s="106">
        <f t="shared" ref="E50:H50" si="20">E28-E40-E48</f>
        <v>0</v>
      </c>
      <c r="F50" s="106">
        <f t="shared" si="20"/>
        <v>0</v>
      </c>
      <c r="G50" s="106">
        <f t="shared" si="20"/>
        <v>0</v>
      </c>
      <c r="H50" s="106">
        <f t="shared" si="20"/>
        <v>0</v>
      </c>
      <c r="I50" s="25"/>
      <c r="J50" s="34" t="s">
        <v>22</v>
      </c>
      <c r="K50" s="106">
        <f t="shared" ref="K50:M50" si="21">K28-K40-K48</f>
        <v>173360.4</v>
      </c>
      <c r="L50" s="106">
        <f t="shared" si="21"/>
        <v>204402.4375</v>
      </c>
      <c r="M50" s="106">
        <f t="shared" si="21"/>
        <v>228018</v>
      </c>
      <c r="N50" s="106"/>
      <c r="O50" s="106">
        <f>O28-O40-O48</f>
        <v>300356.625</v>
      </c>
      <c r="P50" s="106">
        <f t="shared" ref="P50:S50" si="22">P28-P40-P48</f>
        <v>299134.98749999999</v>
      </c>
      <c r="Q50" s="106">
        <f t="shared" si="22"/>
        <v>322884.01249999995</v>
      </c>
      <c r="R50" s="106">
        <f t="shared" si="22"/>
        <v>339486.25</v>
      </c>
      <c r="S50" s="108">
        <f t="shared" si="22"/>
        <v>351009.21250000008</v>
      </c>
    </row>
    <row r="51" spans="2:19" s="22" customFormat="1" x14ac:dyDescent="0.25">
      <c r="B51" s="23"/>
      <c r="C51" s="25"/>
      <c r="D51" s="106"/>
      <c r="E51" s="127"/>
      <c r="F51" s="127"/>
      <c r="G51" s="127"/>
      <c r="H51" s="127"/>
      <c r="I51" s="25"/>
      <c r="J51" s="23"/>
      <c r="K51" s="25"/>
      <c r="L51" s="25"/>
      <c r="M51" s="25"/>
      <c r="N51" s="25"/>
      <c r="O51" s="106"/>
      <c r="P51" s="127"/>
      <c r="Q51" s="127"/>
      <c r="R51" s="127"/>
      <c r="S51" s="128"/>
    </row>
    <row r="52" spans="2:19" s="22" customFormat="1" x14ac:dyDescent="0.25">
      <c r="B52" s="23"/>
      <c r="C52" s="129" t="s">
        <v>21</v>
      </c>
      <c r="D52" s="106"/>
      <c r="E52" s="127"/>
      <c r="F52" s="127"/>
      <c r="G52" s="127"/>
      <c r="H52" s="127"/>
      <c r="I52" s="25"/>
      <c r="J52" s="34" t="s">
        <v>21</v>
      </c>
      <c r="K52" s="25"/>
      <c r="L52" s="25"/>
      <c r="M52" s="25"/>
      <c r="N52" s="25"/>
      <c r="O52" s="106"/>
      <c r="P52" s="127"/>
      <c r="Q52" s="127"/>
      <c r="R52" s="127"/>
      <c r="S52" s="128"/>
    </row>
    <row r="53" spans="2:19" s="22" customFormat="1" x14ac:dyDescent="0.25">
      <c r="B53" s="90" t="s">
        <v>33</v>
      </c>
      <c r="C53" s="25" t="s">
        <v>24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25"/>
      <c r="J53" s="23" t="s">
        <v>24</v>
      </c>
      <c r="K53" s="106">
        <f>'Historic P&amp;L'!C49</f>
        <v>0</v>
      </c>
      <c r="L53" s="106">
        <f>'Historic P&amp;L'!D49</f>
        <v>0</v>
      </c>
      <c r="M53" s="106">
        <f>'Historic P&amp;L'!E49</f>
        <v>0</v>
      </c>
      <c r="N53" s="106"/>
      <c r="O53" s="106">
        <f>D53</f>
        <v>0</v>
      </c>
      <c r="P53" s="106">
        <f>E53</f>
        <v>0</v>
      </c>
      <c r="Q53" s="106">
        <f>F53</f>
        <v>0</v>
      </c>
      <c r="R53" s="106">
        <f>G53</f>
        <v>0</v>
      </c>
      <c r="S53" s="108">
        <f>H53</f>
        <v>0</v>
      </c>
    </row>
    <row r="54" spans="2:19" s="22" customFormat="1" x14ac:dyDescent="0.25">
      <c r="B54" s="90" t="s">
        <v>32</v>
      </c>
      <c r="C54" s="25" t="s">
        <v>25</v>
      </c>
      <c r="D54" s="119">
        <v>1.4999999999999999E-2</v>
      </c>
      <c r="E54" s="119">
        <v>1.4999999999999999E-2</v>
      </c>
      <c r="F54" s="119">
        <v>1.4999999999999999E-2</v>
      </c>
      <c r="G54" s="119">
        <v>1.4999999999999999E-2</v>
      </c>
      <c r="H54" s="119">
        <v>1.4999999999999999E-2</v>
      </c>
      <c r="I54" s="25"/>
      <c r="J54" s="23" t="s">
        <v>25</v>
      </c>
      <c r="K54" s="106">
        <f>'Historic P&amp;L'!C50</f>
        <v>35000</v>
      </c>
      <c r="L54" s="106">
        <f>'Historic P&amp;L'!D50</f>
        <v>35000</v>
      </c>
      <c r="M54" s="106">
        <f>'Historic P&amp;L'!E50</f>
        <v>35000</v>
      </c>
      <c r="N54" s="106"/>
      <c r="O54" s="106">
        <f>D54*O28</f>
        <v>14797.3125</v>
      </c>
      <c r="P54" s="106">
        <f>E54*P28</f>
        <v>17152.537499999999</v>
      </c>
      <c r="Q54" s="106">
        <f>F54*Q28</f>
        <v>18240.859124999999</v>
      </c>
      <c r="R54" s="106">
        <f>G54*R28</f>
        <v>19397.212499999998</v>
      </c>
      <c r="S54" s="108">
        <f>H54*S28</f>
        <v>19821.085125000001</v>
      </c>
    </row>
    <row r="55" spans="2:19" s="22" customFormat="1" x14ac:dyDescent="0.25">
      <c r="B55" s="90" t="s">
        <v>167</v>
      </c>
      <c r="C55" s="25" t="s">
        <v>26</v>
      </c>
      <c r="D55" s="130">
        <v>30000</v>
      </c>
      <c r="E55" s="130">
        <v>30000</v>
      </c>
      <c r="F55" s="130">
        <v>30000</v>
      </c>
      <c r="G55" s="130">
        <v>30000</v>
      </c>
      <c r="H55" s="130">
        <v>30000</v>
      </c>
      <c r="I55" s="25"/>
      <c r="J55" s="23" t="s">
        <v>26</v>
      </c>
      <c r="K55" s="106">
        <f>'Historic P&amp;L'!C51</f>
        <v>25000</v>
      </c>
      <c r="L55" s="106">
        <f>'Historic P&amp;L'!D51</f>
        <v>25000</v>
      </c>
      <c r="M55" s="106">
        <f>'Historic P&amp;L'!E51</f>
        <v>25000</v>
      </c>
      <c r="N55" s="106"/>
      <c r="O55" s="106">
        <f>D55</f>
        <v>30000</v>
      </c>
      <c r="P55" s="106">
        <f t="shared" ref="P55:R55" si="23">E55</f>
        <v>30000</v>
      </c>
      <c r="Q55" s="106">
        <f t="shared" si="23"/>
        <v>30000</v>
      </c>
      <c r="R55" s="106">
        <f t="shared" si="23"/>
        <v>30000</v>
      </c>
      <c r="S55" s="108">
        <f>H55</f>
        <v>30000</v>
      </c>
    </row>
    <row r="56" spans="2:19" s="22" customFormat="1" x14ac:dyDescent="0.25">
      <c r="B56" s="23"/>
      <c r="C56" s="110" t="s">
        <v>27</v>
      </c>
      <c r="D56" s="111"/>
      <c r="E56" s="111"/>
      <c r="F56" s="111"/>
      <c r="G56" s="111"/>
      <c r="H56" s="111"/>
      <c r="I56" s="25"/>
      <c r="J56" s="112" t="s">
        <v>27</v>
      </c>
      <c r="K56" s="111">
        <f t="shared" ref="K56:M56" si="24">SUM(K53:K55)</f>
        <v>60000</v>
      </c>
      <c r="L56" s="111">
        <f t="shared" si="24"/>
        <v>60000</v>
      </c>
      <c r="M56" s="111">
        <f t="shared" si="24"/>
        <v>60000</v>
      </c>
      <c r="N56" s="111"/>
      <c r="O56" s="111">
        <f>SUM(O53:O55)</f>
        <v>44797.3125</v>
      </c>
      <c r="P56" s="111">
        <f t="shared" ref="P56:S56" si="25">SUM(P53:P55)</f>
        <v>47152.537499999999</v>
      </c>
      <c r="Q56" s="111">
        <f t="shared" si="25"/>
        <v>48240.859125000003</v>
      </c>
      <c r="R56" s="111">
        <f t="shared" si="25"/>
        <v>49397.212499999994</v>
      </c>
      <c r="S56" s="113">
        <f t="shared" si="25"/>
        <v>49821.085124999998</v>
      </c>
    </row>
    <row r="57" spans="2:19" s="22" customFormat="1" x14ac:dyDescent="0.25">
      <c r="B57" s="23"/>
      <c r="C57" s="114"/>
      <c r="D57" s="131"/>
      <c r="E57" s="131"/>
      <c r="F57" s="131"/>
      <c r="G57" s="131"/>
      <c r="H57" s="131"/>
      <c r="I57" s="25"/>
      <c r="J57" s="115"/>
      <c r="K57" s="114"/>
      <c r="L57" s="114"/>
      <c r="M57" s="114"/>
      <c r="N57" s="114"/>
      <c r="O57" s="131"/>
      <c r="P57" s="131"/>
      <c r="Q57" s="131"/>
      <c r="R57" s="131"/>
      <c r="S57" s="132"/>
    </row>
    <row r="58" spans="2:19" s="22" customFormat="1" x14ac:dyDescent="0.25">
      <c r="B58" s="23"/>
      <c r="C58" s="101"/>
      <c r="D58" s="133"/>
      <c r="E58" s="133"/>
      <c r="F58" s="133"/>
      <c r="G58" s="133"/>
      <c r="H58" s="133"/>
      <c r="I58" s="25"/>
      <c r="J58" s="112" t="s">
        <v>6</v>
      </c>
      <c r="K58" s="111">
        <f t="shared" ref="K58:M58" si="26">K50-K56</f>
        <v>113360.4</v>
      </c>
      <c r="L58" s="111">
        <f t="shared" si="26"/>
        <v>144402.4375</v>
      </c>
      <c r="M58" s="111">
        <f t="shared" si="26"/>
        <v>168018</v>
      </c>
      <c r="N58" s="111"/>
      <c r="O58" s="111">
        <f>O50-O56</f>
        <v>255559.3125</v>
      </c>
      <c r="P58" s="111">
        <f t="shared" ref="P58:S58" si="27">P50-P56</f>
        <v>251982.44999999998</v>
      </c>
      <c r="Q58" s="111">
        <f t="shared" si="27"/>
        <v>274643.15337499994</v>
      </c>
      <c r="R58" s="111">
        <f t="shared" si="27"/>
        <v>290089.03749999998</v>
      </c>
      <c r="S58" s="113">
        <f t="shared" si="27"/>
        <v>301188.1273750001</v>
      </c>
    </row>
    <row r="59" spans="2:19" s="22" customFormat="1" x14ac:dyDescent="0.25">
      <c r="B59" s="23"/>
      <c r="C59" s="101"/>
      <c r="D59" s="134"/>
      <c r="E59" s="134"/>
      <c r="F59" s="134"/>
      <c r="G59" s="134"/>
      <c r="H59" s="134"/>
      <c r="I59" s="25"/>
      <c r="J59" s="118" t="s">
        <v>7</v>
      </c>
      <c r="K59" s="134">
        <f t="shared" ref="K59:M59" si="28">K58/K28</f>
        <v>0.18631319439879035</v>
      </c>
      <c r="L59" s="134">
        <f t="shared" si="28"/>
        <v>0.15773175677059512</v>
      </c>
      <c r="M59" s="134">
        <f t="shared" si="28"/>
        <v>0.17113261356691792</v>
      </c>
      <c r="N59" s="134"/>
      <c r="O59" s="134">
        <f>O58/O28</f>
        <v>0.25905985884261079</v>
      </c>
      <c r="P59" s="134">
        <f t="shared" ref="P59:S59" si="29">P58/P28</f>
        <v>0.22036020909442697</v>
      </c>
      <c r="Q59" s="134">
        <f t="shared" si="29"/>
        <v>0.2258472187298908</v>
      </c>
      <c r="R59" s="134">
        <f t="shared" si="29"/>
        <v>0.22432788023021347</v>
      </c>
      <c r="S59" s="135">
        <f t="shared" si="29"/>
        <v>0.22793009979694548</v>
      </c>
    </row>
    <row r="60" spans="2:19" s="22" customFormat="1" x14ac:dyDescent="0.25">
      <c r="B60" s="23"/>
      <c r="C60" s="25"/>
      <c r="D60" s="25"/>
      <c r="E60" s="25"/>
      <c r="F60" s="25"/>
      <c r="G60" s="25"/>
      <c r="H60" s="25"/>
      <c r="I60" s="25"/>
      <c r="J60" s="23"/>
      <c r="K60" s="25"/>
      <c r="L60" s="25"/>
      <c r="M60" s="25"/>
      <c r="N60" s="25"/>
      <c r="O60" s="25"/>
      <c r="P60" s="25"/>
      <c r="Q60" s="25"/>
      <c r="R60" s="25"/>
      <c r="S60" s="26"/>
    </row>
    <row r="61" spans="2:19" s="22" customFormat="1" x14ac:dyDescent="0.25">
      <c r="B61" s="23"/>
      <c r="C61" s="57" t="str">
        <f t="shared" ref="C61:H61" si="30">C10</f>
        <v>B&amp;B XYZ</v>
      </c>
      <c r="D61" s="32">
        <f t="shared" si="30"/>
        <v>2021</v>
      </c>
      <c r="E61" s="32">
        <f t="shared" si="30"/>
        <v>2022</v>
      </c>
      <c r="F61" s="32">
        <f t="shared" si="30"/>
        <v>2023</v>
      </c>
      <c r="G61" s="32">
        <f t="shared" si="30"/>
        <v>2024</v>
      </c>
      <c r="H61" s="32">
        <f t="shared" si="30"/>
        <v>2025</v>
      </c>
      <c r="I61" s="25"/>
      <c r="J61" s="56" t="s">
        <v>36</v>
      </c>
      <c r="K61" s="32">
        <f>K10</f>
        <v>2017</v>
      </c>
      <c r="L61" s="32">
        <f>L10</f>
        <v>2018</v>
      </c>
      <c r="M61" s="32">
        <f>M10</f>
        <v>2019</v>
      </c>
      <c r="N61" s="32"/>
      <c r="O61" s="32">
        <f>O10</f>
        <v>2021</v>
      </c>
      <c r="P61" s="32">
        <f>P10</f>
        <v>2022</v>
      </c>
      <c r="Q61" s="32">
        <f>Q10</f>
        <v>2023</v>
      </c>
      <c r="R61" s="32">
        <f>R10</f>
        <v>2024</v>
      </c>
      <c r="S61" s="33">
        <f>S10</f>
        <v>2025</v>
      </c>
    </row>
    <row r="62" spans="2:19" s="22" customFormat="1" x14ac:dyDescent="0.25">
      <c r="B62" s="23"/>
      <c r="C62" s="129" t="s">
        <v>141</v>
      </c>
      <c r="D62" s="25"/>
      <c r="E62" s="25"/>
      <c r="F62" s="25"/>
      <c r="G62" s="25"/>
      <c r="H62" s="25"/>
      <c r="I62" s="25"/>
      <c r="J62" s="23" t="s">
        <v>41</v>
      </c>
      <c r="K62" s="136">
        <f t="shared" ref="K62:M64" si="31">K13</f>
        <v>0.63</v>
      </c>
      <c r="L62" s="136">
        <f t="shared" si="31"/>
        <v>0.65</v>
      </c>
      <c r="M62" s="136">
        <f t="shared" si="31"/>
        <v>0.7</v>
      </c>
      <c r="N62" s="136"/>
      <c r="O62" s="136">
        <f t="shared" ref="O62:S64" si="32">O13</f>
        <v>0.5</v>
      </c>
      <c r="P62" s="136">
        <f t="shared" si="32"/>
        <v>0.6</v>
      </c>
      <c r="Q62" s="136">
        <f t="shared" si="32"/>
        <v>0.61</v>
      </c>
      <c r="R62" s="136">
        <f t="shared" si="32"/>
        <v>0.62</v>
      </c>
      <c r="S62" s="137">
        <f t="shared" si="32"/>
        <v>0.63</v>
      </c>
    </row>
    <row r="63" spans="2:19" s="22" customFormat="1" x14ac:dyDescent="0.25">
      <c r="B63" s="23"/>
      <c r="C63" s="25" t="s">
        <v>29</v>
      </c>
      <c r="D63" s="138">
        <v>365</v>
      </c>
      <c r="E63" s="138">
        <v>365</v>
      </c>
      <c r="F63" s="138">
        <v>365</v>
      </c>
      <c r="G63" s="138">
        <v>365</v>
      </c>
      <c r="H63" s="138">
        <v>365</v>
      </c>
      <c r="I63" s="25"/>
      <c r="J63" s="23" t="s">
        <v>42</v>
      </c>
      <c r="K63" s="139">
        <f t="shared" si="31"/>
        <v>80</v>
      </c>
      <c r="L63" s="139">
        <f t="shared" si="31"/>
        <v>85</v>
      </c>
      <c r="M63" s="139">
        <f t="shared" si="31"/>
        <v>90</v>
      </c>
      <c r="N63" s="139"/>
      <c r="O63" s="139">
        <f t="shared" si="32"/>
        <v>90</v>
      </c>
      <c r="P63" s="139">
        <f t="shared" si="32"/>
        <v>95</v>
      </c>
      <c r="Q63" s="139">
        <f t="shared" si="32"/>
        <v>98</v>
      </c>
      <c r="R63" s="139">
        <f t="shared" si="32"/>
        <v>100</v>
      </c>
      <c r="S63" s="140">
        <f t="shared" si="32"/>
        <v>102</v>
      </c>
    </row>
    <row r="64" spans="2:19" s="22" customFormat="1" x14ac:dyDescent="0.25">
      <c r="B64" s="23"/>
      <c r="C64" s="25" t="s">
        <v>140</v>
      </c>
      <c r="D64" s="130">
        <v>1100</v>
      </c>
      <c r="E64" s="130">
        <v>1200</v>
      </c>
      <c r="F64" s="130">
        <v>1300</v>
      </c>
      <c r="G64" s="130">
        <v>1350</v>
      </c>
      <c r="H64" s="130">
        <v>1350</v>
      </c>
      <c r="I64" s="25"/>
      <c r="J64" s="23" t="s">
        <v>12</v>
      </c>
      <c r="K64" s="139">
        <f t="shared" si="31"/>
        <v>50.4</v>
      </c>
      <c r="L64" s="139">
        <f t="shared" si="31"/>
        <v>55.25</v>
      </c>
      <c r="M64" s="139">
        <f t="shared" si="31"/>
        <v>62.999999999999993</v>
      </c>
      <c r="N64" s="139"/>
      <c r="O64" s="139">
        <f t="shared" si="32"/>
        <v>45</v>
      </c>
      <c r="P64" s="139">
        <f t="shared" si="32"/>
        <v>57</v>
      </c>
      <c r="Q64" s="139">
        <f t="shared" si="32"/>
        <v>59.78</v>
      </c>
      <c r="R64" s="139">
        <f t="shared" si="32"/>
        <v>62</v>
      </c>
      <c r="S64" s="140">
        <f t="shared" si="32"/>
        <v>64.260000000000005</v>
      </c>
    </row>
    <row r="65" spans="2:19" s="22" customFormat="1" x14ac:dyDescent="0.25">
      <c r="B65" s="23"/>
      <c r="C65" s="25" t="s">
        <v>28</v>
      </c>
      <c r="D65" s="138">
        <v>0</v>
      </c>
      <c r="E65" s="138">
        <v>10</v>
      </c>
      <c r="F65" s="138">
        <v>10</v>
      </c>
      <c r="G65" s="138">
        <v>10</v>
      </c>
      <c r="H65" s="138">
        <v>10</v>
      </c>
      <c r="I65" s="25"/>
      <c r="J65" s="23" t="s">
        <v>37</v>
      </c>
      <c r="K65" s="46">
        <f>K31+K33+K43+K36</f>
        <v>212369.6</v>
      </c>
      <c r="L65" s="46">
        <f>L31+L33+L43+L36</f>
        <v>341817.875</v>
      </c>
      <c r="M65" s="46">
        <f>M31+M33+M43+M36</f>
        <v>364412</v>
      </c>
      <c r="N65" s="46"/>
      <c r="O65" s="46">
        <f>O31+O33+O43+O36</f>
        <v>284456.5</v>
      </c>
      <c r="P65" s="46">
        <f>P31+P33+P43+P36</f>
        <v>389025.25</v>
      </c>
      <c r="Q65" s="46">
        <f>Q31+Q33+Q43+Q36</f>
        <v>413054.22749999998</v>
      </c>
      <c r="R65" s="46">
        <f>R31+R33+R43+R36</f>
        <v>439402.25</v>
      </c>
      <c r="S65" s="47">
        <f>S31+S33+S43+S36</f>
        <v>448032.5675</v>
      </c>
    </row>
    <row r="66" spans="2:19" s="22" customFormat="1" x14ac:dyDescent="0.25">
      <c r="B66" s="23"/>
      <c r="C66" s="25" t="s">
        <v>30</v>
      </c>
      <c r="D66" s="138">
        <v>0</v>
      </c>
      <c r="E66" s="138">
        <v>20</v>
      </c>
      <c r="F66" s="138">
        <v>20</v>
      </c>
      <c r="G66" s="138">
        <v>20</v>
      </c>
      <c r="H66" s="138">
        <v>30</v>
      </c>
      <c r="I66" s="25"/>
      <c r="J66" s="23" t="s">
        <v>39</v>
      </c>
      <c r="K66" s="141">
        <f>K65/K28</f>
        <v>0.34903951088028401</v>
      </c>
      <c r="L66" s="141">
        <f>L65/L28</f>
        <v>0.37336997112214038</v>
      </c>
      <c r="M66" s="141">
        <f>M65/M28</f>
        <v>0.37116724383784883</v>
      </c>
      <c r="N66" s="141"/>
      <c r="O66" s="141">
        <f>O65/O28</f>
        <v>0.28835286813061495</v>
      </c>
      <c r="P66" s="141">
        <f>P65/P28</f>
        <v>0.34020498424795748</v>
      </c>
      <c r="Q66" s="141">
        <f>Q65/Q28</f>
        <v>0.33966675418310377</v>
      </c>
      <c r="R66" s="141">
        <f>R65/R28</f>
        <v>0.33979283105755531</v>
      </c>
      <c r="S66" s="142">
        <f>S65/S28</f>
        <v>0.33905754756199302</v>
      </c>
    </row>
    <row r="67" spans="2:19" s="22" customFormat="1" x14ac:dyDescent="0.25">
      <c r="B67" s="23"/>
      <c r="C67" s="25" t="s">
        <v>142</v>
      </c>
      <c r="D67" s="143">
        <v>0</v>
      </c>
      <c r="E67" s="143">
        <v>25</v>
      </c>
      <c r="F67" s="143">
        <v>25</v>
      </c>
      <c r="G67" s="143">
        <v>30</v>
      </c>
      <c r="H67" s="143">
        <v>30</v>
      </c>
      <c r="I67" s="25"/>
      <c r="J67" s="23" t="s">
        <v>40</v>
      </c>
      <c r="K67" s="141">
        <f>(K25-K34)/K25</f>
        <v>0.71</v>
      </c>
      <c r="L67" s="141">
        <f>(L25-L34)/L25</f>
        <v>0.71</v>
      </c>
      <c r="M67" s="141">
        <f>(M25-M34)/M25</f>
        <v>0.71</v>
      </c>
      <c r="N67" s="141"/>
      <c r="O67" s="141">
        <f>(O25-O34)/O25</f>
        <v>0.68</v>
      </c>
      <c r="P67" s="141">
        <f>(P25-P34)/P25</f>
        <v>0.69</v>
      </c>
      <c r="Q67" s="141">
        <f>(Q25-Q34)/Q25</f>
        <v>0.69</v>
      </c>
      <c r="R67" s="141">
        <f>(R25-R34)/R25</f>
        <v>0.69</v>
      </c>
      <c r="S67" s="142">
        <f>(S25-S34)/S25</f>
        <v>0.69</v>
      </c>
    </row>
    <row r="68" spans="2:19" s="22" customFormat="1" x14ac:dyDescent="0.25">
      <c r="B68" s="23"/>
      <c r="C68" s="25" t="s">
        <v>163</v>
      </c>
      <c r="D68" s="46">
        <f>(D63*D64)</f>
        <v>401500</v>
      </c>
      <c r="E68" s="46">
        <f>(E63*E64)</f>
        <v>438000</v>
      </c>
      <c r="F68" s="46">
        <f>(F63*F64)</f>
        <v>474500</v>
      </c>
      <c r="G68" s="46">
        <f>(G63*G64)</f>
        <v>492750</v>
      </c>
      <c r="H68" s="46">
        <f>(H63*H64)</f>
        <v>492750</v>
      </c>
      <c r="I68" s="25"/>
      <c r="J68" s="23" t="s">
        <v>94</v>
      </c>
      <c r="K68" s="141">
        <f>(K28-K40)/K28</f>
        <v>0.604926040365525</v>
      </c>
      <c r="L68" s="141">
        <f>(L28-L40)/L28</f>
        <v>0.54327016159312935</v>
      </c>
      <c r="M68" s="141">
        <f>(M28-M40)/M28</f>
        <v>0.55224485638622933</v>
      </c>
      <c r="N68" s="141"/>
      <c r="O68" s="141">
        <f>(O28-O40)/O28</f>
        <v>0.53447078650261659</v>
      </c>
      <c r="P68" s="141">
        <f>(P28-P40)/P28</f>
        <v>0.51659539441321733</v>
      </c>
      <c r="Q68" s="141">
        <f>(Q28-Q40)/Q28</f>
        <v>0.5155171093812172</v>
      </c>
      <c r="R68" s="141">
        <f>(R28-R40)/R28</f>
        <v>0.51252708991047036</v>
      </c>
      <c r="S68" s="142">
        <f>(S28-S40)/S28</f>
        <v>0.51563319587680756</v>
      </c>
    </row>
    <row r="69" spans="2:19" s="22" customFormat="1" x14ac:dyDescent="0.25">
      <c r="B69" s="23"/>
      <c r="C69" s="25" t="s">
        <v>145</v>
      </c>
      <c r="D69" s="46">
        <f>D65*D66*D67</f>
        <v>0</v>
      </c>
      <c r="E69" s="46">
        <f t="shared" ref="E69:H69" si="33">E65*E66*E67</f>
        <v>5000</v>
      </c>
      <c r="F69" s="46">
        <f t="shared" si="33"/>
        <v>5000</v>
      </c>
      <c r="G69" s="46">
        <f t="shared" si="33"/>
        <v>6000</v>
      </c>
      <c r="H69" s="46">
        <f t="shared" si="33"/>
        <v>9000</v>
      </c>
      <c r="I69" s="25"/>
      <c r="J69" s="23" t="s">
        <v>23</v>
      </c>
      <c r="K69" s="141">
        <f>K50/K28</f>
        <v>0.28492604036552494</v>
      </c>
      <c r="L69" s="141">
        <f>L50/L28</f>
        <v>0.2232701615931294</v>
      </c>
      <c r="M69" s="141">
        <f>M50/M28</f>
        <v>0.23224485638622938</v>
      </c>
      <c r="N69" s="141"/>
      <c r="O69" s="141">
        <f>O50/O28</f>
        <v>0.30447078650261661</v>
      </c>
      <c r="P69" s="141">
        <f>P50/P28</f>
        <v>0.26159539441321727</v>
      </c>
      <c r="Q69" s="141">
        <f>Q50/Q28</f>
        <v>0.26551710938121725</v>
      </c>
      <c r="R69" s="141">
        <f>R50/R28</f>
        <v>0.26252708991047036</v>
      </c>
      <c r="S69" s="142">
        <f>S50/S28</f>
        <v>0.2656331958768075</v>
      </c>
    </row>
    <row r="70" spans="2:19" s="22" customFormat="1" ht="15.75" thickBot="1" x14ac:dyDescent="0.3">
      <c r="B70" s="23"/>
      <c r="C70" s="25"/>
      <c r="D70" s="25"/>
      <c r="E70" s="25"/>
      <c r="F70" s="25"/>
      <c r="G70" s="25"/>
      <c r="H70" s="25"/>
      <c r="I70" s="25"/>
      <c r="J70" s="48" t="s">
        <v>43</v>
      </c>
      <c r="K70" s="144">
        <f>K58/K28</f>
        <v>0.18631319439879035</v>
      </c>
      <c r="L70" s="144">
        <f>L58/L28</f>
        <v>0.15773175677059512</v>
      </c>
      <c r="M70" s="144">
        <f>M58/M28</f>
        <v>0.17113261356691792</v>
      </c>
      <c r="N70" s="144"/>
      <c r="O70" s="144">
        <f>O58/O28</f>
        <v>0.25905985884261079</v>
      </c>
      <c r="P70" s="144">
        <f>P58/P28</f>
        <v>0.22036020909442697</v>
      </c>
      <c r="Q70" s="144">
        <f>Q58/Q28</f>
        <v>0.2258472187298908</v>
      </c>
      <c r="R70" s="144">
        <f>R58/R28</f>
        <v>0.22432788023021347</v>
      </c>
      <c r="S70" s="145">
        <f>S58/S28</f>
        <v>0.22793009979694548</v>
      </c>
    </row>
    <row r="71" spans="2:19" s="22" customFormat="1" x14ac:dyDescent="0.25">
      <c r="B71" s="23"/>
      <c r="C71" s="129" t="s">
        <v>155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</row>
    <row r="72" spans="2:19" s="22" customFormat="1" x14ac:dyDescent="0.25">
      <c r="B72" s="23"/>
      <c r="C72" s="25" t="s">
        <v>29</v>
      </c>
      <c r="D72" s="138">
        <v>150</v>
      </c>
      <c r="E72" s="138">
        <v>150</v>
      </c>
      <c r="F72" s="138">
        <v>150</v>
      </c>
      <c r="G72" s="138">
        <v>150</v>
      </c>
      <c r="H72" s="138">
        <v>150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</row>
    <row r="73" spans="2:19" s="22" customFormat="1" x14ac:dyDescent="0.25">
      <c r="B73" s="23"/>
      <c r="C73" s="25" t="s">
        <v>143</v>
      </c>
      <c r="D73" s="138">
        <v>40</v>
      </c>
      <c r="E73" s="138">
        <v>40</v>
      </c>
      <c r="F73" s="138">
        <v>40</v>
      </c>
      <c r="G73" s="138">
        <v>45</v>
      </c>
      <c r="H73" s="138">
        <v>45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</row>
    <row r="74" spans="2:19" s="22" customFormat="1" x14ac:dyDescent="0.25">
      <c r="B74" s="23"/>
      <c r="C74" s="25" t="s">
        <v>144</v>
      </c>
      <c r="D74" s="130">
        <v>12</v>
      </c>
      <c r="E74" s="130">
        <v>12</v>
      </c>
      <c r="F74" s="130">
        <v>12</v>
      </c>
      <c r="G74" s="130">
        <v>15</v>
      </c>
      <c r="H74" s="130">
        <v>15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</row>
    <row r="75" spans="2:19" s="22" customFormat="1" x14ac:dyDescent="0.25">
      <c r="B75" s="23"/>
      <c r="C75" s="25" t="s">
        <v>156</v>
      </c>
      <c r="D75" s="46">
        <f>D72*D73*D74</f>
        <v>72000</v>
      </c>
      <c r="E75" s="46">
        <f t="shared" ref="E75:H75" si="34">E72*E73*E74</f>
        <v>72000</v>
      </c>
      <c r="F75" s="46">
        <f t="shared" si="34"/>
        <v>72000</v>
      </c>
      <c r="G75" s="46">
        <f t="shared" si="34"/>
        <v>101250</v>
      </c>
      <c r="H75" s="46">
        <f t="shared" si="34"/>
        <v>101250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</row>
    <row r="76" spans="2:19" s="22" customFormat="1" x14ac:dyDescent="0.25">
      <c r="B76" s="23"/>
      <c r="C76" s="25" t="s">
        <v>157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</row>
    <row r="77" spans="2:19" s="22" customFormat="1" x14ac:dyDescent="0.25">
      <c r="B77" s="23"/>
      <c r="C77" s="25" t="s">
        <v>158</v>
      </c>
      <c r="D77" s="130">
        <v>10000</v>
      </c>
      <c r="E77" s="130">
        <v>10000</v>
      </c>
      <c r="F77" s="130">
        <v>10000</v>
      </c>
      <c r="G77" s="130">
        <v>10000</v>
      </c>
      <c r="H77" s="130">
        <v>10000</v>
      </c>
      <c r="I77" s="24"/>
      <c r="J77" s="24"/>
      <c r="K77" s="25"/>
      <c r="L77" s="25"/>
      <c r="M77" s="25"/>
      <c r="N77" s="25"/>
      <c r="O77" s="25"/>
      <c r="P77" s="25"/>
      <c r="Q77" s="25"/>
      <c r="R77" s="25"/>
      <c r="S77" s="26"/>
    </row>
    <row r="78" spans="2:19" s="22" customFormat="1" ht="15.75" thickBot="1" x14ac:dyDescent="0.3">
      <c r="B78" s="48"/>
      <c r="C78" s="74" t="s">
        <v>160</v>
      </c>
      <c r="D78" s="49">
        <f>D75+D76+D77</f>
        <v>82000</v>
      </c>
      <c r="E78" s="49">
        <f t="shared" ref="E78:H78" si="35">E75+E76+E77</f>
        <v>82000</v>
      </c>
      <c r="F78" s="49">
        <f t="shared" si="35"/>
        <v>82000</v>
      </c>
      <c r="G78" s="49">
        <f t="shared" si="35"/>
        <v>111250</v>
      </c>
      <c r="H78" s="49">
        <f t="shared" si="35"/>
        <v>111250</v>
      </c>
      <c r="I78" s="146"/>
      <c r="J78" s="146"/>
      <c r="K78" s="74"/>
      <c r="L78" s="74"/>
      <c r="M78" s="74"/>
      <c r="N78" s="74"/>
      <c r="O78" s="74"/>
      <c r="P78" s="74"/>
      <c r="Q78" s="74"/>
      <c r="R78" s="74"/>
      <c r="S78" s="147"/>
    </row>
    <row r="79" spans="2:19" s="22" customFormat="1" x14ac:dyDescent="0.25">
      <c r="B79" s="25"/>
      <c r="I79" s="24"/>
      <c r="J79" s="24"/>
      <c r="K79" s="25"/>
      <c r="L79" s="25"/>
      <c r="M79" s="25"/>
      <c r="N79" s="25"/>
      <c r="O79" s="25"/>
      <c r="P79" s="25"/>
      <c r="Q79" s="25"/>
      <c r="R79" s="25"/>
      <c r="S79" s="25"/>
    </row>
    <row r="80" spans="2:19" s="22" customFormat="1" x14ac:dyDescent="0.25">
      <c r="B80" s="25"/>
      <c r="I80" s="24"/>
      <c r="J80" s="24"/>
      <c r="K80" s="25"/>
      <c r="L80" s="25"/>
      <c r="M80" s="25"/>
      <c r="N80" s="25"/>
      <c r="O80" s="25"/>
      <c r="P80" s="25"/>
      <c r="Q80" s="25"/>
      <c r="R80" s="25"/>
      <c r="S80" s="25"/>
    </row>
    <row r="81" spans="2:19" x14ac:dyDescent="0.25">
      <c r="B81" s="5"/>
      <c r="I81" s="8"/>
      <c r="J81" s="8"/>
      <c r="K81" s="5"/>
      <c r="L81" s="5"/>
      <c r="M81" s="5"/>
      <c r="N81" s="5"/>
      <c r="O81" s="5"/>
      <c r="P81" s="5"/>
      <c r="Q81" s="5"/>
      <c r="R81" s="5"/>
      <c r="S81" s="5"/>
    </row>
    <row r="82" spans="2:19" x14ac:dyDescent="0.25">
      <c r="B82" s="5"/>
      <c r="I82" s="8"/>
      <c r="J82" s="8"/>
      <c r="K82" s="5"/>
      <c r="L82" s="5"/>
      <c r="M82" s="5"/>
      <c r="N82" s="5"/>
      <c r="O82" s="5"/>
      <c r="P82" s="5"/>
      <c r="Q82" s="5"/>
      <c r="R82" s="5"/>
      <c r="S82" s="5"/>
    </row>
    <row r="83" spans="2:19" x14ac:dyDescent="0.25">
      <c r="B83" s="5"/>
      <c r="I83" s="8"/>
      <c r="J83" s="8"/>
      <c r="K83" s="5"/>
      <c r="L83" s="5"/>
      <c r="M83" s="5"/>
      <c r="N83" s="5"/>
      <c r="O83" s="5"/>
      <c r="P83" s="5"/>
      <c r="Q83" s="5"/>
      <c r="R83" s="5"/>
      <c r="S83" s="5"/>
    </row>
    <row r="84" spans="2:19" x14ac:dyDescent="0.25">
      <c r="B84" s="5"/>
      <c r="C84" s="8"/>
      <c r="D84" s="15"/>
      <c r="E84" s="15"/>
      <c r="F84" s="15"/>
      <c r="G84" s="15"/>
      <c r="H84" s="15"/>
      <c r="I84" s="8"/>
      <c r="J84" s="8"/>
      <c r="K84" s="5"/>
      <c r="L84" s="5"/>
      <c r="M84" s="5"/>
      <c r="N84" s="5"/>
      <c r="O84" s="5"/>
      <c r="P84" s="5"/>
      <c r="Q84" s="5"/>
      <c r="R84" s="5"/>
      <c r="S84" s="5"/>
    </row>
    <row r="85" spans="2:19" x14ac:dyDescent="0.25">
      <c r="B85" s="5"/>
      <c r="C85" s="8"/>
      <c r="D85" s="7"/>
      <c r="E85" s="7"/>
      <c r="F85" s="7"/>
      <c r="G85" s="7"/>
      <c r="H85" s="7"/>
      <c r="I85" s="8"/>
      <c r="J85" s="8"/>
      <c r="K85" s="5"/>
      <c r="L85" s="5"/>
      <c r="M85" s="5"/>
      <c r="N85" s="5"/>
      <c r="O85" s="5"/>
      <c r="P85" s="5"/>
      <c r="Q85" s="5"/>
      <c r="R85" s="5"/>
      <c r="S85" s="5"/>
    </row>
    <row r="86" spans="2:19" x14ac:dyDescent="0.25">
      <c r="B86" s="5"/>
      <c r="C86" s="8"/>
      <c r="D86" s="16"/>
      <c r="E86" s="16"/>
      <c r="F86" s="16"/>
      <c r="G86" s="16"/>
      <c r="H86" s="16"/>
      <c r="I86" s="8"/>
      <c r="J86" s="8"/>
      <c r="K86" s="5"/>
      <c r="L86" s="5"/>
      <c r="M86" s="5"/>
      <c r="N86" s="5"/>
      <c r="O86" s="5"/>
      <c r="P86" s="5"/>
      <c r="Q86" s="5"/>
      <c r="R86" s="5"/>
      <c r="S86" s="5"/>
    </row>
    <row r="87" spans="2:19" x14ac:dyDescent="0.25">
      <c r="B87" s="5"/>
      <c r="C87" s="8"/>
      <c r="D87" s="15"/>
      <c r="E87" s="15"/>
      <c r="F87" s="15"/>
      <c r="G87" s="15"/>
      <c r="H87" s="15"/>
      <c r="I87" s="8"/>
      <c r="J87" s="8"/>
      <c r="K87" s="5"/>
      <c r="L87" s="5"/>
      <c r="M87" s="5"/>
      <c r="N87" s="5"/>
      <c r="O87" s="5"/>
      <c r="P87" s="5"/>
      <c r="Q87" s="5"/>
      <c r="R87" s="5"/>
      <c r="S87" s="5"/>
    </row>
    <row r="88" spans="2:19" x14ac:dyDescent="0.25">
      <c r="B88" s="5"/>
      <c r="C88" s="8"/>
      <c r="D88" s="16"/>
      <c r="E88" s="16"/>
      <c r="F88" s="16"/>
      <c r="G88" s="16"/>
      <c r="H88" s="16"/>
      <c r="I88" s="8"/>
      <c r="J88" s="8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5">
      <c r="B89" s="5"/>
      <c r="C89" s="8"/>
      <c r="D89" s="16"/>
      <c r="E89" s="16"/>
      <c r="F89" s="16"/>
      <c r="G89" s="16"/>
      <c r="H89" s="16"/>
      <c r="I89" s="8"/>
      <c r="J89" s="8"/>
      <c r="K89" s="5"/>
      <c r="L89" s="5"/>
      <c r="M89" s="5"/>
      <c r="N89" s="5"/>
      <c r="O89" s="5"/>
      <c r="P89" s="5"/>
      <c r="Q89" s="5"/>
      <c r="R89" s="5"/>
      <c r="S89" s="5"/>
    </row>
    <row r="90" spans="2:19" x14ac:dyDescent="0.25">
      <c r="B90" s="5"/>
      <c r="C90" s="8"/>
      <c r="D90" s="8"/>
      <c r="E90" s="8"/>
      <c r="F90" s="8"/>
      <c r="G90" s="8"/>
      <c r="H90" s="8"/>
      <c r="I90" s="8"/>
      <c r="J90" s="8"/>
      <c r="K90" s="5"/>
      <c r="L90" s="5"/>
      <c r="M90" s="5"/>
      <c r="N90" s="5"/>
      <c r="O90" s="5"/>
      <c r="P90" s="5"/>
      <c r="Q90" s="5"/>
      <c r="R90" s="5"/>
      <c r="S90" s="5"/>
    </row>
    <row r="91" spans="2:19" x14ac:dyDescent="0.25">
      <c r="B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x14ac:dyDescent="0.25">
      <c r="B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x14ac:dyDescent="0.25">
      <c r="B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x14ac:dyDescent="0.25">
      <c r="B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x14ac:dyDescent="0.25">
      <c r="B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x14ac:dyDescent="0.25">
      <c r="B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x14ac:dyDescent="0.25">
      <c r="B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</sheetData>
  <sheetProtection selectLockedCells="1"/>
  <mergeCells count="6">
    <mergeCell ref="B1:C1"/>
    <mergeCell ref="K9:M9"/>
    <mergeCell ref="D25:H25"/>
    <mergeCell ref="D26:H26"/>
    <mergeCell ref="O9:S9"/>
    <mergeCell ref="B3:C3"/>
  </mergeCells>
  <pageMargins left="0.7" right="0.7" top="0.75" bottom="0.75" header="0.3" footer="0.3"/>
  <pageSetup paperSize="9" scale="7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2CDE-72D3-4714-9BF1-4C2CB8CF0712}">
  <sheetPr>
    <tabColor theme="5" tint="0.59999389629810485"/>
  </sheetPr>
  <dimension ref="B1:G35"/>
  <sheetViews>
    <sheetView showGridLines="0" zoomScaleNormal="100" workbookViewId="0"/>
  </sheetViews>
  <sheetFormatPr defaultRowHeight="15" x14ac:dyDescent="0.25"/>
  <cols>
    <col min="1" max="1" width="2.85546875" style="1" customWidth="1"/>
    <col min="2" max="2" width="25.85546875" style="1" bestFit="1" customWidth="1"/>
    <col min="3" max="5" width="15.140625" style="1" customWidth="1"/>
    <col min="6" max="6" width="5.28515625" style="1" customWidth="1"/>
    <col min="7" max="8" width="12.140625" style="1" customWidth="1"/>
    <col min="9" max="16384" width="9.140625" style="1"/>
  </cols>
  <sheetData>
    <row r="1" spans="2:7" s="22" customFormat="1" ht="17.25" x14ac:dyDescent="0.3">
      <c r="B1" s="201" t="s">
        <v>93</v>
      </c>
      <c r="C1" s="201"/>
      <c r="D1" s="201"/>
    </row>
    <row r="2" spans="2:7" s="22" customFormat="1" ht="15.75" thickBot="1" x14ac:dyDescent="0.3"/>
    <row r="3" spans="2:7" s="22" customFormat="1" ht="48.75" customHeight="1" thickBot="1" x14ac:dyDescent="0.3">
      <c r="B3" s="209" t="s">
        <v>170</v>
      </c>
      <c r="C3" s="210"/>
      <c r="D3" s="195"/>
      <c r="E3" s="195"/>
      <c r="F3" s="195"/>
      <c r="G3" s="196"/>
    </row>
    <row r="4" spans="2:7" s="22" customFormat="1" x14ac:dyDescent="0.25">
      <c r="B4" s="51" t="s">
        <v>8</v>
      </c>
      <c r="C4" s="52" t="str">
        <f>'P&amp;L Projections'!C4</f>
        <v>B&amp;B XYZ</v>
      </c>
      <c r="D4" s="25"/>
      <c r="E4" s="25"/>
      <c r="F4" s="25"/>
      <c r="G4" s="26"/>
    </row>
    <row r="5" spans="2:7" s="22" customFormat="1" x14ac:dyDescent="0.25">
      <c r="B5" s="23" t="s">
        <v>98</v>
      </c>
      <c r="C5" s="25">
        <f>'Historic P&amp;L'!C8</f>
        <v>2017</v>
      </c>
      <c r="D5" s="25"/>
      <c r="E5" s="25"/>
      <c r="F5" s="25"/>
      <c r="G5" s="26"/>
    </row>
    <row r="6" spans="2:7" s="22" customFormat="1" x14ac:dyDescent="0.25">
      <c r="B6" s="23" t="s">
        <v>99</v>
      </c>
      <c r="C6" s="53">
        <v>44348</v>
      </c>
      <c r="D6" s="25"/>
      <c r="E6" s="25"/>
      <c r="F6" s="25"/>
      <c r="G6" s="26"/>
    </row>
    <row r="7" spans="2:7" s="22" customFormat="1" x14ac:dyDescent="0.25">
      <c r="B7" s="23"/>
      <c r="C7" s="25"/>
      <c r="D7" s="54"/>
      <c r="E7" s="25"/>
      <c r="F7" s="25"/>
      <c r="G7" s="26"/>
    </row>
    <row r="8" spans="2:7" s="22" customFormat="1" x14ac:dyDescent="0.25">
      <c r="B8" s="23" t="s">
        <v>96</v>
      </c>
      <c r="C8" s="208" t="s">
        <v>97</v>
      </c>
      <c r="D8" s="208"/>
      <c r="E8" s="208"/>
      <c r="F8" s="25"/>
      <c r="G8" s="55" t="s">
        <v>164</v>
      </c>
    </row>
    <row r="9" spans="2:7" s="22" customFormat="1" x14ac:dyDescent="0.25">
      <c r="B9" s="56" t="str">
        <f>C4</f>
        <v>B&amp;B XYZ</v>
      </c>
      <c r="C9" s="57">
        <f>C5</f>
        <v>2017</v>
      </c>
      <c r="D9" s="57">
        <f>C9+1</f>
        <v>2018</v>
      </c>
      <c r="E9" s="57">
        <f>D9+1</f>
        <v>2019</v>
      </c>
      <c r="F9" s="25"/>
      <c r="G9" s="58">
        <f>C6</f>
        <v>44348</v>
      </c>
    </row>
    <row r="10" spans="2:7" s="22" customFormat="1" x14ac:dyDescent="0.25">
      <c r="B10" s="59" t="s">
        <v>44</v>
      </c>
      <c r="C10" s="60"/>
      <c r="D10" s="25"/>
      <c r="E10" s="25"/>
      <c r="F10" s="25"/>
      <c r="G10" s="26"/>
    </row>
    <row r="11" spans="2:7" s="22" customFormat="1" x14ac:dyDescent="0.25">
      <c r="B11" s="61" t="s">
        <v>45</v>
      </c>
      <c r="C11" s="62">
        <v>1500000</v>
      </c>
      <c r="D11" s="62">
        <v>1500000</v>
      </c>
      <c r="E11" s="62">
        <v>1700000</v>
      </c>
      <c r="F11" s="25"/>
      <c r="G11" s="63">
        <v>1700000</v>
      </c>
    </row>
    <row r="12" spans="2:7" s="22" customFormat="1" x14ac:dyDescent="0.25">
      <c r="B12" s="61" t="s">
        <v>46</v>
      </c>
      <c r="C12" s="64">
        <v>200000</v>
      </c>
      <c r="D12" s="64">
        <v>200000</v>
      </c>
      <c r="E12" s="64">
        <v>200000</v>
      </c>
      <c r="F12" s="25"/>
      <c r="G12" s="65">
        <v>275000</v>
      </c>
    </row>
    <row r="13" spans="2:7" s="22" customFormat="1" x14ac:dyDescent="0.25">
      <c r="B13" s="66"/>
      <c r="C13" s="67">
        <f>SUM(C11:C12)</f>
        <v>1700000</v>
      </c>
      <c r="D13" s="67">
        <f>SUM(D11:D12)</f>
        <v>1700000</v>
      </c>
      <c r="E13" s="67">
        <f>SUM(E11:E12)</f>
        <v>1900000</v>
      </c>
      <c r="F13" s="25"/>
      <c r="G13" s="68">
        <f>SUM(G11:G12)</f>
        <v>1975000</v>
      </c>
    </row>
    <row r="14" spans="2:7" s="22" customFormat="1" x14ac:dyDescent="0.25">
      <c r="B14" s="59" t="s">
        <v>47</v>
      </c>
      <c r="C14" s="67"/>
      <c r="D14" s="67"/>
      <c r="E14" s="67"/>
      <c r="F14" s="25"/>
      <c r="G14" s="68"/>
    </row>
    <row r="15" spans="2:7" s="22" customFormat="1" x14ac:dyDescent="0.25">
      <c r="B15" s="61" t="s">
        <v>48</v>
      </c>
      <c r="C15" s="62">
        <v>30000</v>
      </c>
      <c r="D15" s="62">
        <v>80000</v>
      </c>
      <c r="E15" s="62">
        <v>120000</v>
      </c>
      <c r="F15" s="25"/>
      <c r="G15" s="63">
        <v>10000</v>
      </c>
    </row>
    <row r="16" spans="2:7" s="22" customFormat="1" x14ac:dyDescent="0.25">
      <c r="B16" s="61" t="s">
        <v>49</v>
      </c>
      <c r="C16" s="62">
        <v>30000</v>
      </c>
      <c r="D16" s="62">
        <v>32000</v>
      </c>
      <c r="E16" s="62">
        <v>30000</v>
      </c>
      <c r="F16" s="25"/>
      <c r="G16" s="63">
        <v>25000</v>
      </c>
    </row>
    <row r="17" spans="2:7" s="22" customFormat="1" x14ac:dyDescent="0.25">
      <c r="B17" s="61" t="s">
        <v>60</v>
      </c>
      <c r="C17" s="64">
        <v>5000</v>
      </c>
      <c r="D17" s="64">
        <v>5000</v>
      </c>
      <c r="E17" s="64">
        <v>5000</v>
      </c>
      <c r="F17" s="25"/>
      <c r="G17" s="65">
        <v>1000</v>
      </c>
    </row>
    <row r="18" spans="2:7" s="22" customFormat="1" x14ac:dyDescent="0.25">
      <c r="B18" s="66"/>
      <c r="C18" s="67">
        <f>SUM(C15:C17)</f>
        <v>65000</v>
      </c>
      <c r="D18" s="67">
        <f>SUM(D15:D17)</f>
        <v>117000</v>
      </c>
      <c r="E18" s="67">
        <f>SUM(E15:E17)</f>
        <v>155000</v>
      </c>
      <c r="F18" s="25"/>
      <c r="G18" s="68">
        <f>SUM(G15:G17)</f>
        <v>36000</v>
      </c>
    </row>
    <row r="19" spans="2:7" s="22" customFormat="1" x14ac:dyDescent="0.25">
      <c r="B19" s="69" t="s">
        <v>50</v>
      </c>
      <c r="C19" s="70">
        <f>C13+C18</f>
        <v>1765000</v>
      </c>
      <c r="D19" s="70">
        <f>D13+D18</f>
        <v>1817000</v>
      </c>
      <c r="E19" s="70">
        <f>E13+E18</f>
        <v>2055000</v>
      </c>
      <c r="F19" s="25"/>
      <c r="G19" s="71">
        <f>G13+G18</f>
        <v>2011000</v>
      </c>
    </row>
    <row r="20" spans="2:7" s="22" customFormat="1" x14ac:dyDescent="0.25">
      <c r="B20" s="66"/>
      <c r="C20" s="67"/>
      <c r="D20" s="67"/>
      <c r="E20" s="67"/>
      <c r="F20" s="25"/>
      <c r="G20" s="68"/>
    </row>
    <row r="21" spans="2:7" s="22" customFormat="1" x14ac:dyDescent="0.25">
      <c r="B21" s="59" t="s">
        <v>51</v>
      </c>
      <c r="C21" s="67"/>
      <c r="D21" s="67"/>
      <c r="E21" s="67"/>
      <c r="F21" s="25"/>
      <c r="G21" s="68"/>
    </row>
    <row r="22" spans="2:7" s="22" customFormat="1" x14ac:dyDescent="0.25">
      <c r="B22" s="61" t="s">
        <v>52</v>
      </c>
      <c r="C22" s="62">
        <v>10000</v>
      </c>
      <c r="D22" s="62">
        <v>15000</v>
      </c>
      <c r="E22" s="62">
        <v>8000</v>
      </c>
      <c r="F22" s="25"/>
      <c r="G22" s="63">
        <v>16000</v>
      </c>
    </row>
    <row r="23" spans="2:7" s="22" customFormat="1" x14ac:dyDescent="0.25">
      <c r="B23" s="61" t="s">
        <v>61</v>
      </c>
      <c r="C23" s="62">
        <v>22000</v>
      </c>
      <c r="D23" s="62">
        <v>23000</v>
      </c>
      <c r="E23" s="62">
        <v>21000</v>
      </c>
      <c r="F23" s="25"/>
      <c r="G23" s="63">
        <v>40000</v>
      </c>
    </row>
    <row r="24" spans="2:7" s="22" customFormat="1" x14ac:dyDescent="0.25">
      <c r="B24" s="61" t="s">
        <v>53</v>
      </c>
      <c r="C24" s="62">
        <v>4000</v>
      </c>
      <c r="D24" s="62">
        <v>4000</v>
      </c>
      <c r="E24" s="62">
        <v>4000</v>
      </c>
      <c r="F24" s="25"/>
      <c r="G24" s="63">
        <v>25000</v>
      </c>
    </row>
    <row r="25" spans="2:7" s="22" customFormat="1" x14ac:dyDescent="0.25">
      <c r="B25" s="61" t="s">
        <v>54</v>
      </c>
      <c r="C25" s="64"/>
      <c r="D25" s="64"/>
      <c r="E25" s="64"/>
      <c r="F25" s="25"/>
      <c r="G25" s="65">
        <v>100000</v>
      </c>
    </row>
    <row r="26" spans="2:7" s="22" customFormat="1" x14ac:dyDescent="0.25">
      <c r="B26" s="66"/>
      <c r="C26" s="67">
        <f>SUM(C22:C25)</f>
        <v>36000</v>
      </c>
      <c r="D26" s="67">
        <f>SUM(D22:D25)</f>
        <v>42000</v>
      </c>
      <c r="E26" s="67">
        <f>SUM(E22:E25)</f>
        <v>33000</v>
      </c>
      <c r="F26" s="25"/>
      <c r="G26" s="68">
        <f>SUM(G22:G25)</f>
        <v>181000</v>
      </c>
    </row>
    <row r="27" spans="2:7" s="22" customFormat="1" x14ac:dyDescent="0.25">
      <c r="B27" s="59" t="s">
        <v>55</v>
      </c>
      <c r="C27" s="67"/>
      <c r="D27" s="67"/>
      <c r="E27" s="67"/>
      <c r="F27" s="25"/>
      <c r="G27" s="68"/>
    </row>
    <row r="28" spans="2:7" s="22" customFormat="1" x14ac:dyDescent="0.25">
      <c r="B28" s="61" t="s">
        <v>56</v>
      </c>
      <c r="C28" s="62">
        <v>500000</v>
      </c>
      <c r="D28" s="62">
        <v>490000</v>
      </c>
      <c r="E28" s="62">
        <v>470000</v>
      </c>
      <c r="F28" s="25"/>
      <c r="G28" s="63">
        <v>800000</v>
      </c>
    </row>
    <row r="29" spans="2:7" s="22" customFormat="1" x14ac:dyDescent="0.25">
      <c r="B29" s="61" t="s">
        <v>57</v>
      </c>
      <c r="C29" s="64"/>
      <c r="D29" s="64"/>
      <c r="E29" s="64"/>
      <c r="F29" s="25"/>
      <c r="G29" s="65">
        <v>70000</v>
      </c>
    </row>
    <row r="30" spans="2:7" s="22" customFormat="1" x14ac:dyDescent="0.25">
      <c r="B30" s="66"/>
      <c r="C30" s="67">
        <f>SUM(C28:C29)</f>
        <v>500000</v>
      </c>
      <c r="D30" s="67">
        <f>SUM(D28:D29)</f>
        <v>490000</v>
      </c>
      <c r="E30" s="67">
        <f>SUM(E28:E29)</f>
        <v>470000</v>
      </c>
      <c r="F30" s="25"/>
      <c r="G30" s="68">
        <f>SUM(G28:G29)</f>
        <v>870000</v>
      </c>
    </row>
    <row r="31" spans="2:7" s="22" customFormat="1" x14ac:dyDescent="0.25">
      <c r="B31" s="69" t="s">
        <v>58</v>
      </c>
      <c r="C31" s="70">
        <f>C26+C30</f>
        <v>536000</v>
      </c>
      <c r="D31" s="70">
        <f>D26+D30</f>
        <v>532000</v>
      </c>
      <c r="E31" s="70">
        <f>E26+E30</f>
        <v>503000</v>
      </c>
      <c r="F31" s="25"/>
      <c r="G31" s="71">
        <f>G26+G30</f>
        <v>1051000</v>
      </c>
    </row>
    <row r="32" spans="2:7" s="22" customFormat="1" x14ac:dyDescent="0.25">
      <c r="B32" s="23"/>
      <c r="C32" s="25"/>
      <c r="D32" s="25"/>
      <c r="E32" s="25"/>
      <c r="F32" s="25"/>
      <c r="G32" s="26"/>
    </row>
    <row r="33" spans="2:7" s="22" customFormat="1" ht="15.75" thickBot="1" x14ac:dyDescent="0.3">
      <c r="B33" s="72" t="s">
        <v>59</v>
      </c>
      <c r="C33" s="73">
        <f>C19-C31</f>
        <v>1229000</v>
      </c>
      <c r="D33" s="73">
        <f>D19-D31</f>
        <v>1285000</v>
      </c>
      <c r="E33" s="73">
        <f>E19-E31</f>
        <v>1552000</v>
      </c>
      <c r="F33" s="74"/>
      <c r="G33" s="75">
        <f>G19-G31</f>
        <v>960000</v>
      </c>
    </row>
    <row r="34" spans="2:7" s="22" customFormat="1" x14ac:dyDescent="0.25"/>
    <row r="35" spans="2:7" s="22" customFormat="1" x14ac:dyDescent="0.25"/>
  </sheetData>
  <sheetProtection selectLockedCells="1"/>
  <mergeCells count="3">
    <mergeCell ref="B1:D1"/>
    <mergeCell ref="C8:E8"/>
    <mergeCell ref="B3:C3"/>
  </mergeCells>
  <pageMargins left="0.7" right="0.7" top="0.75" bottom="0.75" header="0.3" footer="0.3"/>
  <pageSetup paperSize="9" scale="9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31A3-D643-4389-829C-31F0D786CB8A}">
  <sheetPr>
    <tabColor theme="5" tint="0.59999389629810485"/>
  </sheetPr>
  <dimension ref="A1:Q29"/>
  <sheetViews>
    <sheetView showGridLines="0" zoomScaleNormal="100" workbookViewId="0"/>
  </sheetViews>
  <sheetFormatPr defaultRowHeight="15" x14ac:dyDescent="0.25"/>
  <cols>
    <col min="1" max="1" width="5.28515625" style="1" customWidth="1"/>
    <col min="2" max="2" width="59.140625" style="1" bestFit="1" customWidth="1"/>
    <col min="3" max="3" width="10.5703125" style="1" bestFit="1" customWidth="1"/>
    <col min="4" max="6" width="10.140625" style="1" bestFit="1" customWidth="1"/>
    <col min="7" max="7" width="10.85546875" style="1" bestFit="1" customWidth="1"/>
    <col min="8" max="10" width="9.140625" style="1"/>
    <col min="11" max="11" width="9.140625" style="1" bestFit="1" customWidth="1"/>
    <col min="12" max="16384" width="9.140625" style="1"/>
  </cols>
  <sheetData>
    <row r="1" spans="2:17" s="22" customFormat="1" ht="17.25" x14ac:dyDescent="0.3">
      <c r="B1" s="19" t="s">
        <v>93</v>
      </c>
      <c r="C1" s="20"/>
      <c r="D1" s="20"/>
      <c r="E1" s="21"/>
    </row>
    <row r="2" spans="2:17" s="22" customFormat="1" ht="15.75" thickBot="1" x14ac:dyDescent="0.3"/>
    <row r="3" spans="2:17" s="22" customFormat="1" ht="48.75" customHeight="1" x14ac:dyDescent="0.25">
      <c r="B3" s="197" t="s">
        <v>171</v>
      </c>
      <c r="C3" s="195"/>
      <c r="D3" s="195"/>
      <c r="E3" s="195"/>
      <c r="F3" s="195"/>
      <c r="G3" s="196"/>
    </row>
    <row r="4" spans="2:17" s="22" customFormat="1" ht="17.25" customHeight="1" x14ac:dyDescent="0.25">
      <c r="B4" s="23" t="s">
        <v>8</v>
      </c>
      <c r="C4" s="24" t="str">
        <f>'P&amp;L Projections'!C4</f>
        <v>B&amp;B XYZ</v>
      </c>
      <c r="D4" s="25"/>
      <c r="E4" s="25"/>
      <c r="F4" s="25"/>
      <c r="G4" s="26"/>
    </row>
    <row r="5" spans="2:17" s="22" customFormat="1" ht="17.25" customHeight="1" thickBot="1" x14ac:dyDescent="0.3">
      <c r="B5" s="23" t="s">
        <v>101</v>
      </c>
      <c r="C5" s="25">
        <f>'P&amp;L Projections'!C8</f>
        <v>2021</v>
      </c>
      <c r="D5" s="25"/>
      <c r="E5" s="25"/>
      <c r="F5" s="25"/>
      <c r="G5" s="26"/>
    </row>
    <row r="6" spans="2:17" s="22" customFormat="1" x14ac:dyDescent="0.25">
      <c r="B6" s="27" t="s">
        <v>100</v>
      </c>
      <c r="C6" s="28"/>
      <c r="D6" s="29"/>
      <c r="E6" s="29"/>
      <c r="F6" s="29"/>
      <c r="G6" s="30"/>
    </row>
    <row r="7" spans="2:17" s="22" customFormat="1" x14ac:dyDescent="0.25">
      <c r="B7" s="31" t="str">
        <f>C4</f>
        <v>B&amp;B XYZ</v>
      </c>
      <c r="C7" s="32">
        <f>C5</f>
        <v>2021</v>
      </c>
      <c r="D7" s="32">
        <f>C7+1</f>
        <v>2022</v>
      </c>
      <c r="E7" s="32">
        <f t="shared" ref="E7:G7" si="0">D7+1</f>
        <v>2023</v>
      </c>
      <c r="F7" s="32">
        <f t="shared" si="0"/>
        <v>2024</v>
      </c>
      <c r="G7" s="33">
        <f t="shared" si="0"/>
        <v>2025</v>
      </c>
    </row>
    <row r="8" spans="2:17" s="22" customFormat="1" x14ac:dyDescent="0.25">
      <c r="B8" s="34" t="s">
        <v>104</v>
      </c>
      <c r="C8" s="35"/>
      <c r="D8" s="25"/>
      <c r="E8" s="25"/>
      <c r="F8" s="25"/>
      <c r="G8" s="26"/>
    </row>
    <row r="9" spans="2:17" s="22" customFormat="1" x14ac:dyDescent="0.25">
      <c r="B9" s="23" t="s">
        <v>6</v>
      </c>
      <c r="C9" s="35">
        <f>'P&amp;L Projections'!O58</f>
        <v>255559.3125</v>
      </c>
      <c r="D9" s="35">
        <f>'P&amp;L Projections'!P58</f>
        <v>251982.44999999998</v>
      </c>
      <c r="E9" s="35">
        <f>'P&amp;L Projections'!Q58</f>
        <v>274643.15337499994</v>
      </c>
      <c r="F9" s="35">
        <f>'P&amp;L Projections'!R58</f>
        <v>290089.03749999998</v>
      </c>
      <c r="G9" s="36">
        <f>'P&amp;L Projections'!S58</f>
        <v>301188.1273750001</v>
      </c>
      <c r="J9" s="37"/>
      <c r="K9" s="37"/>
      <c r="L9" s="37"/>
      <c r="M9" s="37"/>
      <c r="N9" s="37"/>
      <c r="O9" s="37"/>
      <c r="P9" s="37"/>
      <c r="Q9" s="38"/>
    </row>
    <row r="10" spans="2:17" s="22" customFormat="1" x14ac:dyDescent="0.25">
      <c r="B10" s="23" t="s">
        <v>63</v>
      </c>
      <c r="C10" s="39">
        <v>25000</v>
      </c>
      <c r="D10" s="39"/>
      <c r="E10" s="39"/>
      <c r="F10" s="39"/>
      <c r="G10" s="40"/>
    </row>
    <row r="11" spans="2:17" s="22" customFormat="1" x14ac:dyDescent="0.25">
      <c r="B11" s="23" t="s">
        <v>64</v>
      </c>
      <c r="C11" s="39"/>
      <c r="D11" s="39"/>
      <c r="E11" s="39"/>
      <c r="F11" s="39"/>
      <c r="G11" s="40"/>
    </row>
    <row r="12" spans="2:17" s="22" customFormat="1" x14ac:dyDescent="0.25">
      <c r="B12" s="23" t="s">
        <v>66</v>
      </c>
      <c r="C12" s="39"/>
      <c r="D12" s="39"/>
      <c r="E12" s="39"/>
      <c r="F12" s="39"/>
      <c r="G12" s="40"/>
    </row>
    <row r="13" spans="2:17" s="22" customFormat="1" x14ac:dyDescent="0.25">
      <c r="B13" s="23"/>
      <c r="C13" s="35"/>
      <c r="D13" s="25"/>
      <c r="E13" s="25"/>
      <c r="F13" s="25"/>
      <c r="G13" s="26"/>
    </row>
    <row r="14" spans="2:17" s="22" customFormat="1" x14ac:dyDescent="0.25">
      <c r="B14" s="34" t="s">
        <v>103</v>
      </c>
      <c r="C14" s="35"/>
      <c r="D14" s="25"/>
      <c r="E14" s="25"/>
      <c r="F14" s="25"/>
      <c r="G14" s="26"/>
    </row>
    <row r="15" spans="2:17" s="22" customFormat="1" x14ac:dyDescent="0.25">
      <c r="B15" s="23" t="s">
        <v>62</v>
      </c>
      <c r="C15" s="41">
        <f>800000*0.03</f>
        <v>24000</v>
      </c>
      <c r="D15" s="41">
        <f t="shared" ref="D15:G15" si="1">800000*0.03</f>
        <v>24000</v>
      </c>
      <c r="E15" s="41">
        <f t="shared" si="1"/>
        <v>24000</v>
      </c>
      <c r="F15" s="41">
        <f t="shared" si="1"/>
        <v>24000</v>
      </c>
      <c r="G15" s="42">
        <f t="shared" si="1"/>
        <v>24000</v>
      </c>
    </row>
    <row r="16" spans="2:17" s="22" customFormat="1" x14ac:dyDescent="0.25">
      <c r="B16" s="23" t="s">
        <v>89</v>
      </c>
      <c r="C16" s="41">
        <v>20000</v>
      </c>
      <c r="D16" s="41">
        <v>20000</v>
      </c>
      <c r="E16" s="41">
        <v>20000</v>
      </c>
      <c r="F16" s="41">
        <v>25000</v>
      </c>
      <c r="G16" s="42">
        <v>25000</v>
      </c>
    </row>
    <row r="17" spans="1:7" s="22" customFormat="1" x14ac:dyDescent="0.25">
      <c r="B17" s="23" t="s">
        <v>88</v>
      </c>
      <c r="C17" s="41"/>
      <c r="D17" s="41"/>
      <c r="E17" s="41">
        <v>20000</v>
      </c>
      <c r="F17" s="41">
        <v>30000</v>
      </c>
      <c r="G17" s="42">
        <v>35000</v>
      </c>
    </row>
    <row r="18" spans="1:7" s="22" customFormat="1" x14ac:dyDescent="0.25">
      <c r="B18" s="23" t="s">
        <v>65</v>
      </c>
      <c r="C18" s="41">
        <v>20000</v>
      </c>
      <c r="D18" s="41">
        <v>30000</v>
      </c>
      <c r="E18" s="41">
        <v>50000</v>
      </c>
      <c r="F18" s="41">
        <v>50000</v>
      </c>
      <c r="G18" s="42">
        <v>60000</v>
      </c>
    </row>
    <row r="19" spans="1:7" s="43" customFormat="1" x14ac:dyDescent="0.25">
      <c r="A19" s="43" t="s">
        <v>90</v>
      </c>
      <c r="B19" s="34" t="s">
        <v>67</v>
      </c>
      <c r="C19" s="44">
        <f>SUM(C9:C12)-SUM(C15:C18)</f>
        <v>216559.3125</v>
      </c>
      <c r="D19" s="44">
        <f>SUM(D9:D12)-SUM(D15:D18)</f>
        <v>177982.44999999998</v>
      </c>
      <c r="E19" s="44">
        <f>SUM(E9:E12)-SUM(E15:E18)</f>
        <v>160643.15337499994</v>
      </c>
      <c r="F19" s="44">
        <f>SUM(F9:F12)-SUM(F15:F18)</f>
        <v>161089.03749999998</v>
      </c>
      <c r="G19" s="45">
        <f>SUM(G9:G12)-SUM(G15:G18)</f>
        <v>157188.1273750001</v>
      </c>
    </row>
    <row r="20" spans="1:7" s="22" customFormat="1" x14ac:dyDescent="0.25">
      <c r="B20" s="23"/>
      <c r="C20" s="25"/>
      <c r="D20" s="25"/>
      <c r="E20" s="25"/>
      <c r="F20" s="25"/>
      <c r="G20" s="26"/>
    </row>
    <row r="21" spans="1:7" s="22" customFormat="1" x14ac:dyDescent="0.25">
      <c r="B21" s="23" t="s">
        <v>85</v>
      </c>
      <c r="C21" s="39">
        <v>30000</v>
      </c>
      <c r="D21" s="46">
        <f>C22</f>
        <v>246559.3125</v>
      </c>
      <c r="E21" s="46">
        <f t="shared" ref="E21:G21" si="2">D22</f>
        <v>424541.76249999995</v>
      </c>
      <c r="F21" s="46">
        <f t="shared" si="2"/>
        <v>585184.91587499995</v>
      </c>
      <c r="G21" s="47">
        <f t="shared" si="2"/>
        <v>746273.95337499992</v>
      </c>
    </row>
    <row r="22" spans="1:7" s="22" customFormat="1" ht="15.75" thickBot="1" x14ac:dyDescent="0.3">
      <c r="B22" s="48" t="s">
        <v>68</v>
      </c>
      <c r="C22" s="49">
        <f>C21+C19</f>
        <v>246559.3125</v>
      </c>
      <c r="D22" s="49">
        <f>D21+D19</f>
        <v>424541.76249999995</v>
      </c>
      <c r="E22" s="49">
        <f t="shared" ref="E22:G22" si="3">E21+E19</f>
        <v>585184.91587499995</v>
      </c>
      <c r="F22" s="49">
        <f t="shared" si="3"/>
        <v>746273.95337499992</v>
      </c>
      <c r="G22" s="50">
        <f t="shared" si="3"/>
        <v>903462.08074999996</v>
      </c>
    </row>
    <row r="23" spans="1:7" s="22" customFormat="1" x14ac:dyDescent="0.25"/>
    <row r="24" spans="1:7" s="22" customFormat="1" x14ac:dyDescent="0.25"/>
    <row r="25" spans="1:7" s="22" customFormat="1" x14ac:dyDescent="0.25">
      <c r="B25" s="22" t="s">
        <v>91</v>
      </c>
    </row>
    <row r="26" spans="1:7" s="22" customFormat="1" x14ac:dyDescent="0.25"/>
    <row r="27" spans="1:7" s="22" customFormat="1" x14ac:dyDescent="0.25"/>
    <row r="28" spans="1:7" x14ac:dyDescent="0.25">
      <c r="C28" s="2"/>
    </row>
    <row r="29" spans="1:7" x14ac:dyDescent="0.25">
      <c r="C29" s="3"/>
    </row>
  </sheetData>
  <sheetProtection selectLockedCells="1"/>
  <pageMargins left="0.25" right="0.25" top="0.75" bottom="0.75" header="0.3" footer="0.3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  <MediaLengthInSeconds xmlns="45dae456-88b9-4ffb-bdb7-b103bac82d3a" xsi:nil="true"/>
  </documentManagement>
</p:properties>
</file>

<file path=customXml/itemProps1.xml><?xml version="1.0" encoding="utf-8"?>
<ds:datastoreItem xmlns:ds="http://schemas.openxmlformats.org/officeDocument/2006/customXml" ds:itemID="{955CAC44-5D9B-4FCC-A19D-6F4C63B24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557A94-4241-4FC6-BBFB-9D2BD0060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ae456-88b9-4ffb-bdb7-b103bac82d3a"/>
    <ds:schemaRef ds:uri="4578801f-0822-4fc8-ab90-e8bb196ae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C0C0F0-333D-4F96-BE49-FA02D5C309F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78801f-0822-4fc8-ab90-e8bb196aef62"/>
    <ds:schemaRef ds:uri="http://purl.org/dc/elements/1.1/"/>
    <ds:schemaRef ds:uri="http://schemas.microsoft.com/office/2006/metadata/properties"/>
    <ds:schemaRef ds:uri="http://schemas.microsoft.com/office/2006/documentManagement/types"/>
    <ds:schemaRef ds:uri="45dae456-88b9-4ffb-bdb7-b103bac82d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Historic P&amp;L</vt:lpstr>
      <vt:lpstr>P&amp;L Projections</vt:lpstr>
      <vt:lpstr>Balance Sheet</vt:lpstr>
      <vt:lpstr>Cashflow Analysis</vt:lpstr>
      <vt:lpstr>'Balance Sheet'!Print_Area</vt:lpstr>
      <vt:lpstr>'Cashflow Analysis'!Print_Area</vt:lpstr>
      <vt:lpstr>'Historic P&amp;L'!Print_Area</vt:lpstr>
      <vt:lpstr>Instructions!Print_Area</vt:lpstr>
      <vt:lpstr>'P&amp;L Projections'!Print_Area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Mairea Doyle-Balfe</dc:creator>
  <cp:lastModifiedBy>Sharon Brennan</cp:lastModifiedBy>
  <cp:lastPrinted>2021-09-03T12:47:14Z</cp:lastPrinted>
  <dcterms:created xsi:type="dcterms:W3CDTF">2021-04-15T10:13:55Z</dcterms:created>
  <dcterms:modified xsi:type="dcterms:W3CDTF">2021-09-06T15:22:44Z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42836000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