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1/25. Financial Planning (New July 2021)/3. Business Planning/3. Business Planning/Hotels and Guest Houses/"/>
    </mc:Choice>
  </mc:AlternateContent>
  <xr:revisionPtr revIDLastSave="53" documentId="8_{C368CA92-0BEC-4E0E-9409-F5A42495BEF6}" xr6:coauthVersionLast="47" xr6:coauthVersionMax="47" xr10:uidLastSave="{C3FDD46E-BB1D-4D28-B287-0B0BDFABE48E}"/>
  <bookViews>
    <workbookView xWindow="-120" yWindow="-120" windowWidth="25440" windowHeight="15390" tabRatio="841" xr2:uid="{9173BA8B-8E2D-49B2-AAF5-17B29C2C2451}"/>
  </bookViews>
  <sheets>
    <sheet name="Instructions" sheetId="8" r:id="rId1"/>
    <sheet name="Historic P&amp;L" sheetId="3" r:id="rId2"/>
    <sheet name="P&amp;L Projections" sheetId="9" r:id="rId3"/>
    <sheet name="Balance Sheet" sheetId="10" r:id="rId4"/>
    <sheet name="Cashflow Analysis" sheetId="11" r:id="rId5"/>
  </sheets>
  <definedNames>
    <definedName name="_xlnm.Print_Area" localSheetId="3">'Balance Sheet'!$B$4:$G$33</definedName>
    <definedName name="_xlnm.Print_Area" localSheetId="4">'Cashflow Analysis'!$B$6:$G$22</definedName>
    <definedName name="_xlnm.Print_Area" localSheetId="1">'Historic P&amp;L'!$B$4:$E$62</definedName>
    <definedName name="_xlnm.Print_Area" localSheetId="0">Instructions!$B$2:$L$30</definedName>
    <definedName name="_xlnm.Print_Area" localSheetId="2">'P&amp;L Projections'!$J$7:$S$65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C8" i="3"/>
  <c r="D8" i="3"/>
  <c r="E8" i="3" s="1"/>
  <c r="E52" i="3" s="1"/>
  <c r="C11" i="3"/>
  <c r="D11" i="3"/>
  <c r="E11" i="3"/>
  <c r="E55" i="3" s="1"/>
  <c r="C14" i="3"/>
  <c r="D14" i="3"/>
  <c r="D23" i="3" s="1"/>
  <c r="E14" i="3"/>
  <c r="E22" i="3" s="1"/>
  <c r="C19" i="3"/>
  <c r="C37" i="3" s="1"/>
  <c r="E19" i="3"/>
  <c r="E34" i="3" s="1"/>
  <c r="C22" i="3"/>
  <c r="D22" i="3"/>
  <c r="D31" i="3" s="1"/>
  <c r="C23" i="3"/>
  <c r="E23" i="3"/>
  <c r="C24" i="3"/>
  <c r="D24" i="3"/>
  <c r="E24" i="3"/>
  <c r="C25" i="3"/>
  <c r="C31" i="3" s="1"/>
  <c r="D25" i="3"/>
  <c r="E25" i="3"/>
  <c r="C26" i="3"/>
  <c r="D26" i="3"/>
  <c r="E26" i="3"/>
  <c r="C27" i="3"/>
  <c r="D27" i="3"/>
  <c r="E27" i="3"/>
  <c r="M29" i="9" s="1"/>
  <c r="C28" i="3"/>
  <c r="D28" i="3"/>
  <c r="E28" i="3"/>
  <c r="C29" i="3"/>
  <c r="D29" i="3"/>
  <c r="E29" i="3"/>
  <c r="C30" i="3"/>
  <c r="D30" i="3"/>
  <c r="E30" i="3"/>
  <c r="C35" i="3"/>
  <c r="E35" i="3"/>
  <c r="E37" i="3"/>
  <c r="C47" i="3"/>
  <c r="D47" i="3"/>
  <c r="E47" i="3"/>
  <c r="C52" i="3"/>
  <c r="D52" i="3"/>
  <c r="C53" i="3"/>
  <c r="D53" i="3"/>
  <c r="E53" i="3"/>
  <c r="C54" i="3"/>
  <c r="D54" i="3"/>
  <c r="E54" i="3"/>
  <c r="C55" i="3"/>
  <c r="D55" i="3"/>
  <c r="C59" i="3"/>
  <c r="D59" i="3"/>
  <c r="E59" i="3"/>
  <c r="P59" i="9"/>
  <c r="Q59" i="9"/>
  <c r="R59" i="9"/>
  <c r="C5" i="11"/>
  <c r="C7" i="11" s="1"/>
  <c r="D7" i="11" s="1"/>
  <c r="E7" i="11" s="1"/>
  <c r="F7" i="11" s="1"/>
  <c r="G7" i="11" s="1"/>
  <c r="C4" i="11"/>
  <c r="B7" i="11" s="1"/>
  <c r="G9" i="10"/>
  <c r="G30" i="10"/>
  <c r="G26" i="10"/>
  <c r="G18" i="10"/>
  <c r="G13" i="10"/>
  <c r="C5" i="10"/>
  <c r="C9" i="10" s="1"/>
  <c r="D9" i="10" s="1"/>
  <c r="E9" i="10" s="1"/>
  <c r="C4" i="10"/>
  <c r="P62" i="9"/>
  <c r="Q62" i="9"/>
  <c r="R62" i="9"/>
  <c r="S62" i="9"/>
  <c r="S59" i="9"/>
  <c r="M31" i="9"/>
  <c r="L31" i="9"/>
  <c r="P29" i="9"/>
  <c r="Q29" i="9"/>
  <c r="R29" i="9"/>
  <c r="S29" i="9"/>
  <c r="P30" i="9"/>
  <c r="Q30" i="9"/>
  <c r="R30" i="9"/>
  <c r="S30" i="9"/>
  <c r="P31" i="9"/>
  <c r="Q31" i="9"/>
  <c r="R31" i="9"/>
  <c r="S31" i="9"/>
  <c r="O31" i="9"/>
  <c r="O30" i="9"/>
  <c r="O29" i="9"/>
  <c r="E86" i="9"/>
  <c r="F86" i="9"/>
  <c r="F89" i="9" s="1"/>
  <c r="G86" i="9"/>
  <c r="G89" i="9" s="1"/>
  <c r="H86" i="9"/>
  <c r="E87" i="9"/>
  <c r="F87" i="9"/>
  <c r="G87" i="9"/>
  <c r="H87" i="9"/>
  <c r="H89" i="9" s="1"/>
  <c r="E89" i="9"/>
  <c r="D86" i="9"/>
  <c r="D89" i="9" s="1"/>
  <c r="D87" i="9"/>
  <c r="E80" i="9"/>
  <c r="D72" i="9"/>
  <c r="D74" i="9" s="1"/>
  <c r="D76" i="9" s="1"/>
  <c r="E78" i="9"/>
  <c r="E81" i="9" s="1"/>
  <c r="P19" i="9" s="1"/>
  <c r="F78" i="9"/>
  <c r="F80" i="9" s="1"/>
  <c r="G78" i="9"/>
  <c r="G80" i="9" s="1"/>
  <c r="H78" i="9"/>
  <c r="H80" i="9" s="1"/>
  <c r="H81" i="9" s="1"/>
  <c r="D78" i="9"/>
  <c r="D80" i="9" s="1"/>
  <c r="D81" i="9" s="1"/>
  <c r="O19" i="9" s="1"/>
  <c r="E74" i="9"/>
  <c r="E76" i="9" s="1"/>
  <c r="E72" i="9"/>
  <c r="F72" i="9"/>
  <c r="F74" i="9" s="1"/>
  <c r="F76" i="9" s="1"/>
  <c r="G72" i="9"/>
  <c r="G74" i="9" s="1"/>
  <c r="G76" i="9" s="1"/>
  <c r="H72" i="9"/>
  <c r="H74" i="9" s="1"/>
  <c r="H76" i="9" s="1"/>
  <c r="L28" i="9"/>
  <c r="M28" i="9"/>
  <c r="L29" i="9"/>
  <c r="L30" i="9"/>
  <c r="M30" i="9"/>
  <c r="K29" i="9"/>
  <c r="K30" i="9"/>
  <c r="K31" i="9"/>
  <c r="L19" i="9"/>
  <c r="M19" i="9"/>
  <c r="K19" i="9"/>
  <c r="E31" i="3" l="1"/>
  <c r="E60" i="3" s="1"/>
  <c r="E57" i="3"/>
  <c r="E58" i="3" s="1"/>
  <c r="E56" i="3"/>
  <c r="M58" i="9" s="1"/>
  <c r="C38" i="3"/>
  <c r="E36" i="3"/>
  <c r="E39" i="3" s="1"/>
  <c r="C34" i="3"/>
  <c r="D19" i="3"/>
  <c r="C60" i="3"/>
  <c r="C56" i="3"/>
  <c r="K58" i="9" s="1"/>
  <c r="E38" i="3"/>
  <c r="C36" i="3"/>
  <c r="G31" i="10"/>
  <c r="G19" i="10"/>
  <c r="F81" i="9"/>
  <c r="Q19" i="9" s="1"/>
  <c r="S19" i="9"/>
  <c r="G81" i="9"/>
  <c r="R19" i="9" s="1"/>
  <c r="C57" i="3" l="1"/>
  <c r="C58" i="3" s="1"/>
  <c r="C39" i="3"/>
  <c r="C41" i="3" s="1"/>
  <c r="D34" i="3"/>
  <c r="D38" i="3"/>
  <c r="D37" i="3"/>
  <c r="D35" i="3"/>
  <c r="D36" i="3"/>
  <c r="D56" i="3"/>
  <c r="L58" i="9" s="1"/>
  <c r="D60" i="3"/>
  <c r="E41" i="3"/>
  <c r="G33" i="10"/>
  <c r="E49" i="3" l="1"/>
  <c r="E61" i="3"/>
  <c r="D39" i="3"/>
  <c r="D41" i="3" s="1"/>
  <c r="D57" i="3"/>
  <c r="D58" i="3" s="1"/>
  <c r="C61" i="3"/>
  <c r="C49" i="3"/>
  <c r="M32" i="9"/>
  <c r="L32" i="9"/>
  <c r="K32" i="9"/>
  <c r="C13" i="10"/>
  <c r="C18" i="10"/>
  <c r="C26" i="10"/>
  <c r="C30" i="10"/>
  <c r="E30" i="10"/>
  <c r="E31" i="10" s="1"/>
  <c r="D30" i="10"/>
  <c r="E26" i="10"/>
  <c r="D26" i="10"/>
  <c r="E18" i="10"/>
  <c r="D18" i="10"/>
  <c r="E13" i="10"/>
  <c r="D13" i="10"/>
  <c r="B9" i="10"/>
  <c r="H68" i="9"/>
  <c r="G68" i="9"/>
  <c r="F68" i="9"/>
  <c r="E68" i="9"/>
  <c r="D68" i="9"/>
  <c r="H67" i="9"/>
  <c r="G67" i="9"/>
  <c r="F67" i="9"/>
  <c r="E67" i="9"/>
  <c r="D67" i="9"/>
  <c r="H62" i="9"/>
  <c r="G62" i="9"/>
  <c r="F62" i="9"/>
  <c r="E62" i="9"/>
  <c r="D62" i="9"/>
  <c r="H61" i="9"/>
  <c r="G61" i="9"/>
  <c r="F61" i="9"/>
  <c r="E61" i="9"/>
  <c r="D61" i="9"/>
  <c r="S48" i="9"/>
  <c r="R48" i="9"/>
  <c r="Q48" i="9"/>
  <c r="P48" i="9"/>
  <c r="O48" i="9"/>
  <c r="M48" i="9"/>
  <c r="L48" i="9"/>
  <c r="K48" i="9"/>
  <c r="M47" i="9"/>
  <c r="L47" i="9"/>
  <c r="K47" i="9"/>
  <c r="S46" i="9"/>
  <c r="R46" i="9"/>
  <c r="Q46" i="9"/>
  <c r="P46" i="9"/>
  <c r="O46" i="9"/>
  <c r="M46" i="9"/>
  <c r="L46" i="9"/>
  <c r="K46" i="9"/>
  <c r="H43" i="9"/>
  <c r="G43" i="9"/>
  <c r="F43" i="9"/>
  <c r="E43" i="9"/>
  <c r="D43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0" i="9"/>
  <c r="L20" i="9"/>
  <c r="K20" i="9"/>
  <c r="M18" i="9"/>
  <c r="L18" i="9"/>
  <c r="K18" i="9"/>
  <c r="M17" i="9"/>
  <c r="L17" i="9"/>
  <c r="K17" i="9"/>
  <c r="M16" i="9"/>
  <c r="L16" i="9"/>
  <c r="K16" i="9"/>
  <c r="M13" i="9"/>
  <c r="M57" i="9" s="1"/>
  <c r="L13" i="9"/>
  <c r="L57" i="9" s="1"/>
  <c r="K13" i="9"/>
  <c r="K57" i="9" s="1"/>
  <c r="H13" i="9"/>
  <c r="S13" i="9" s="1"/>
  <c r="S57" i="9" s="1"/>
  <c r="G13" i="9"/>
  <c r="R13" i="9" s="1"/>
  <c r="R57" i="9" s="1"/>
  <c r="F13" i="9"/>
  <c r="Q13" i="9" s="1"/>
  <c r="Q57" i="9" s="1"/>
  <c r="E13" i="9"/>
  <c r="P13" i="9" s="1"/>
  <c r="P57" i="9" s="1"/>
  <c r="D13" i="9"/>
  <c r="O13" i="9" s="1"/>
  <c r="O57" i="9" s="1"/>
  <c r="S12" i="9"/>
  <c r="S56" i="9" s="1"/>
  <c r="R12" i="9"/>
  <c r="R56" i="9" s="1"/>
  <c r="Q12" i="9"/>
  <c r="Q56" i="9" s="1"/>
  <c r="P12" i="9"/>
  <c r="P56" i="9" s="1"/>
  <c r="O12" i="9"/>
  <c r="O56" i="9" s="1"/>
  <c r="M12" i="9"/>
  <c r="M56" i="9" s="1"/>
  <c r="L12" i="9"/>
  <c r="L56" i="9" s="1"/>
  <c r="K12" i="9"/>
  <c r="K56" i="9" s="1"/>
  <c r="S11" i="9"/>
  <c r="S55" i="9" s="1"/>
  <c r="R11" i="9"/>
  <c r="R55" i="9" s="1"/>
  <c r="Q11" i="9"/>
  <c r="Q55" i="9" s="1"/>
  <c r="P11" i="9"/>
  <c r="P55" i="9" s="1"/>
  <c r="O11" i="9"/>
  <c r="O55" i="9" s="1"/>
  <c r="M11" i="9"/>
  <c r="M55" i="9" s="1"/>
  <c r="L11" i="9"/>
  <c r="L55" i="9" s="1"/>
  <c r="K11" i="9"/>
  <c r="K55" i="9" s="1"/>
  <c r="H9" i="9"/>
  <c r="S9" i="9" s="1"/>
  <c r="G9" i="9"/>
  <c r="R9" i="9" s="1"/>
  <c r="F9" i="9"/>
  <c r="Q9" i="9" s="1"/>
  <c r="E9" i="9"/>
  <c r="E10" i="9" s="1"/>
  <c r="D9" i="9"/>
  <c r="D10" i="9" s="1"/>
  <c r="O8" i="9"/>
  <c r="P8" i="9" s="1"/>
  <c r="P54" i="9" s="1"/>
  <c r="J8" i="9"/>
  <c r="D8" i="9"/>
  <c r="D54" i="9" s="1"/>
  <c r="C8" i="9"/>
  <c r="C54" i="9" s="1"/>
  <c r="C50" i="3" l="1"/>
  <c r="C62" i="3"/>
  <c r="D49" i="3"/>
  <c r="D61" i="3"/>
  <c r="E62" i="3"/>
  <c r="E50" i="3"/>
  <c r="Q18" i="9"/>
  <c r="S17" i="9"/>
  <c r="Q17" i="9"/>
  <c r="O18" i="9"/>
  <c r="O17" i="9"/>
  <c r="R17" i="9"/>
  <c r="R18" i="9"/>
  <c r="P17" i="9"/>
  <c r="L33" i="9"/>
  <c r="M33" i="9"/>
  <c r="K33" i="9"/>
  <c r="C19" i="10"/>
  <c r="D31" i="10"/>
  <c r="D19" i="10"/>
  <c r="E19" i="10"/>
  <c r="E33" i="10" s="1"/>
  <c r="O9" i="9"/>
  <c r="L21" i="9"/>
  <c r="L62" i="9" s="1"/>
  <c r="M21" i="9"/>
  <c r="M62" i="9" s="1"/>
  <c r="K61" i="9"/>
  <c r="L61" i="9"/>
  <c r="M61" i="9"/>
  <c r="K49" i="9"/>
  <c r="L49" i="9"/>
  <c r="M49" i="9"/>
  <c r="K21" i="9"/>
  <c r="K62" i="9" s="1"/>
  <c r="P18" i="9"/>
  <c r="S18" i="9"/>
  <c r="S28" i="9" s="1"/>
  <c r="O10" i="9"/>
  <c r="D16" i="9"/>
  <c r="O16" i="9" s="1"/>
  <c r="O24" i="9" s="1"/>
  <c r="P9" i="9"/>
  <c r="F10" i="9"/>
  <c r="F16" i="9" s="1"/>
  <c r="Q20" i="9" s="1"/>
  <c r="Q32" i="9" s="1"/>
  <c r="H10" i="9"/>
  <c r="S10" i="9" s="1"/>
  <c r="O54" i="9"/>
  <c r="C31" i="10"/>
  <c r="E16" i="9"/>
  <c r="P10" i="9"/>
  <c r="Q8" i="9"/>
  <c r="G10" i="9"/>
  <c r="E8" i="9"/>
  <c r="D62" i="3" l="1"/>
  <c r="D50" i="3"/>
  <c r="D33" i="10"/>
  <c r="R28" i="9"/>
  <c r="Q26" i="9"/>
  <c r="O27" i="9"/>
  <c r="O61" i="9" s="1"/>
  <c r="R26" i="9"/>
  <c r="Q28" i="9"/>
  <c r="Q27" i="9"/>
  <c r="Q61" i="9" s="1"/>
  <c r="R27" i="9"/>
  <c r="R61" i="9" s="1"/>
  <c r="S27" i="9"/>
  <c r="S61" i="9" s="1"/>
  <c r="O28" i="9"/>
  <c r="S26" i="9"/>
  <c r="P27" i="9"/>
  <c r="P61" i="9" s="1"/>
  <c r="O26" i="9"/>
  <c r="O25" i="9"/>
  <c r="O20" i="9"/>
  <c r="O21" i="9" s="1"/>
  <c r="P26" i="9"/>
  <c r="H16" i="9"/>
  <c r="S20" i="9" s="1"/>
  <c r="S32" i="9" s="1"/>
  <c r="C33" i="10"/>
  <c r="P28" i="9"/>
  <c r="Q16" i="9"/>
  <c r="Q24" i="9" s="1"/>
  <c r="Q10" i="9"/>
  <c r="P20" i="9"/>
  <c r="P32" i="9" s="1"/>
  <c r="P16" i="9"/>
  <c r="E54" i="9"/>
  <c r="F8" i="9"/>
  <c r="G16" i="9"/>
  <c r="R10" i="9"/>
  <c r="Q54" i="9"/>
  <c r="R8" i="9"/>
  <c r="O32" i="9" l="1"/>
  <c r="O33" i="9" s="1"/>
  <c r="O62" i="9" s="1"/>
  <c r="O38" i="9"/>
  <c r="O39" i="9"/>
  <c r="O40" i="9"/>
  <c r="O58" i="9"/>
  <c r="O47" i="9"/>
  <c r="O49" i="9" s="1"/>
  <c r="O36" i="9"/>
  <c r="O37" i="9"/>
  <c r="S16" i="9"/>
  <c r="S25" i="9" s="1"/>
  <c r="Q21" i="9"/>
  <c r="Q58" i="9" s="1"/>
  <c r="Q25" i="9"/>
  <c r="Q33" i="9" s="1"/>
  <c r="R16" i="9"/>
  <c r="R20" i="9"/>
  <c r="R32" i="9" s="1"/>
  <c r="F54" i="9"/>
  <c r="G8" i="9"/>
  <c r="P25" i="9"/>
  <c r="P24" i="9"/>
  <c r="P21" i="9"/>
  <c r="R54" i="9"/>
  <c r="S8" i="9"/>
  <c r="S54" i="9" s="1"/>
  <c r="O59" i="9" l="1"/>
  <c r="O60" i="9" s="1"/>
  <c r="O41" i="9"/>
  <c r="O43" i="9" s="1"/>
  <c r="O63" i="9" s="1"/>
  <c r="Q39" i="9"/>
  <c r="Q47" i="9"/>
  <c r="Q49" i="9" s="1"/>
  <c r="Q40" i="9"/>
  <c r="Q36" i="9"/>
  <c r="Q60" i="9" s="1"/>
  <c r="Q37" i="9"/>
  <c r="Q38" i="9"/>
  <c r="P33" i="9"/>
  <c r="S21" i="9"/>
  <c r="S38" i="9" s="1"/>
  <c r="S24" i="9"/>
  <c r="S33" i="9" s="1"/>
  <c r="H8" i="9"/>
  <c r="H54" i="9" s="1"/>
  <c r="G54" i="9"/>
  <c r="P40" i="9"/>
  <c r="P39" i="9"/>
  <c r="P38" i="9"/>
  <c r="P37" i="9"/>
  <c r="P36" i="9"/>
  <c r="P47" i="9"/>
  <c r="P49" i="9" s="1"/>
  <c r="P58" i="9"/>
  <c r="R25" i="9"/>
  <c r="R21" i="9"/>
  <c r="R24" i="9"/>
  <c r="S47" i="9" l="1"/>
  <c r="S49" i="9" s="1"/>
  <c r="O51" i="9"/>
  <c r="C9" i="11" s="1"/>
  <c r="Q41" i="9"/>
  <c r="Q43" i="9" s="1"/>
  <c r="Q51" i="9" s="1"/>
  <c r="E9" i="11" s="1"/>
  <c r="E19" i="11" s="1"/>
  <c r="S39" i="9"/>
  <c r="S40" i="9"/>
  <c r="S58" i="9"/>
  <c r="S36" i="9"/>
  <c r="S60" i="9" s="1"/>
  <c r="S37" i="9"/>
  <c r="R33" i="9"/>
  <c r="K8" i="9"/>
  <c r="K54" i="9" s="1"/>
  <c r="P41" i="9"/>
  <c r="P43" i="9" s="1"/>
  <c r="R40" i="9"/>
  <c r="R39" i="9"/>
  <c r="R38" i="9"/>
  <c r="R36" i="9"/>
  <c r="R60" i="9" s="1"/>
  <c r="R47" i="9"/>
  <c r="R49" i="9" s="1"/>
  <c r="R58" i="9"/>
  <c r="R37" i="9"/>
  <c r="P60" i="9"/>
  <c r="C19" i="11" l="1"/>
  <c r="C22" i="11" s="1"/>
  <c r="D21" i="11" s="1"/>
  <c r="Q63" i="9"/>
  <c r="O52" i="9"/>
  <c r="O64" i="9"/>
  <c r="S41" i="9"/>
  <c r="S43" i="9" s="1"/>
  <c r="S51" i="9" s="1"/>
  <c r="G9" i="11" s="1"/>
  <c r="G19" i="11" s="1"/>
  <c r="K36" i="9"/>
  <c r="K59" i="9" s="1"/>
  <c r="M40" i="9"/>
  <c r="K38" i="9"/>
  <c r="M36" i="9"/>
  <c r="M59" i="9" s="1"/>
  <c r="K39" i="9"/>
  <c r="L36" i="9"/>
  <c r="L59" i="9" s="1"/>
  <c r="K40" i="9"/>
  <c r="L39" i="9"/>
  <c r="L38" i="9"/>
  <c r="M39" i="9"/>
  <c r="L37" i="9"/>
  <c r="M38" i="9"/>
  <c r="L40" i="9"/>
  <c r="K37" i="9"/>
  <c r="M37" i="9"/>
  <c r="Q52" i="9"/>
  <c r="L8" i="9"/>
  <c r="L54" i="9" s="1"/>
  <c r="Q64" i="9"/>
  <c r="P63" i="9"/>
  <c r="P51" i="9"/>
  <c r="D9" i="11" s="1"/>
  <c r="R41" i="9"/>
  <c r="R43" i="9" s="1"/>
  <c r="D19" i="11" l="1"/>
  <c r="D22" i="11" s="1"/>
  <c r="E21" i="11" s="1"/>
  <c r="E22" i="11" s="1"/>
  <c r="F21" i="11" s="1"/>
  <c r="S63" i="9"/>
  <c r="L60" i="9"/>
  <c r="L41" i="9"/>
  <c r="L43" i="9" s="1"/>
  <c r="M41" i="9"/>
  <c r="M43" i="9" s="1"/>
  <c r="M60" i="9"/>
  <c r="K60" i="9"/>
  <c r="K41" i="9"/>
  <c r="K43" i="9" s="1"/>
  <c r="S64" i="9"/>
  <c r="M8" i="9"/>
  <c r="M54" i="9" s="1"/>
  <c r="P52" i="9"/>
  <c r="S52" i="9"/>
  <c r="P64" i="9"/>
  <c r="R63" i="9"/>
  <c r="R51" i="9"/>
  <c r="F9" i="11" s="1"/>
  <c r="F19" i="11" l="1"/>
  <c r="F22" i="11" s="1"/>
  <c r="G21" i="11" s="1"/>
  <c r="G22" i="11" s="1"/>
  <c r="M51" i="9"/>
  <c r="M63" i="9"/>
  <c r="K63" i="9"/>
  <c r="K51" i="9"/>
  <c r="L63" i="9"/>
  <c r="L51" i="9"/>
  <c r="R64" i="9"/>
  <c r="R52" i="9"/>
  <c r="M64" i="9" l="1"/>
  <c r="M52" i="9"/>
  <c r="K64" i="9"/>
  <c r="K52" i="9"/>
  <c r="L52" i="9"/>
  <c r="L64" i="9"/>
</calcChain>
</file>

<file path=xl/sharedStrings.xml><?xml version="1.0" encoding="utf-8"?>
<sst xmlns="http://schemas.openxmlformats.org/spreadsheetml/2006/main" count="272" uniqueCount="164">
  <si>
    <t>Revenues</t>
  </si>
  <si>
    <t>Total Revenue</t>
  </si>
  <si>
    <t>Admin and General</t>
  </si>
  <si>
    <t>Sales and Marketing</t>
  </si>
  <si>
    <t>Repairs and Maintenance</t>
  </si>
  <si>
    <t>Utilities</t>
  </si>
  <si>
    <t>EBITDA</t>
  </si>
  <si>
    <t>EBTIDA %</t>
  </si>
  <si>
    <t>Name of Business/Property</t>
  </si>
  <si>
    <t>Hotel ABC</t>
  </si>
  <si>
    <t>Year of Start of Projections</t>
  </si>
  <si>
    <t>Number of Bedrooms</t>
  </si>
  <si>
    <t>Rooms Available</t>
  </si>
  <si>
    <t>Projected Occupancy</t>
  </si>
  <si>
    <t>Rooms Sold</t>
  </si>
  <si>
    <t>Projected ADR</t>
  </si>
  <si>
    <t>RevPAR</t>
  </si>
  <si>
    <t>Rooms</t>
  </si>
  <si>
    <t>Food</t>
  </si>
  <si>
    <t>Beverage</t>
  </si>
  <si>
    <t>Other Revenue</t>
  </si>
  <si>
    <t>Department Costs</t>
  </si>
  <si>
    <t>Rooms - Payroll</t>
  </si>
  <si>
    <t>Rooms - Other Costs</t>
  </si>
  <si>
    <t>F&amp;B - Payroll</t>
  </si>
  <si>
    <t>F&amp;B - Cost of Sales</t>
  </si>
  <si>
    <t>F&amp;B - Other Costs</t>
  </si>
  <si>
    <t>Total Department Costs</t>
  </si>
  <si>
    <t>Other Operating Costs</t>
  </si>
  <si>
    <t>Total Other Operating Costs</t>
  </si>
  <si>
    <t>Fixed Costs</t>
  </si>
  <si>
    <t>Gross Operating Profit</t>
  </si>
  <si>
    <t>GOP %</t>
  </si>
  <si>
    <t>Rent</t>
  </si>
  <si>
    <t>Insurance</t>
  </si>
  <si>
    <t>Rates</t>
  </si>
  <si>
    <t>Total Fixed Costs</t>
  </si>
  <si>
    <t>Food Revenue Inputs</t>
  </si>
  <si>
    <t>Number of functions per year</t>
  </si>
  <si>
    <t>Number of days open per year</t>
  </si>
  <si>
    <t>Average size of function (#ppl)</t>
  </si>
  <si>
    <t>Beverage Revenue Inputs</t>
  </si>
  <si>
    <t>% of revenue for Function food sales</t>
  </si>
  <si>
    <t>Total Function Food</t>
  </si>
  <si>
    <t>Beverage Revenue - Function</t>
  </si>
  <si>
    <t xml:space="preserve">Insert % of rooms Revenue </t>
  </si>
  <si>
    <t xml:space="preserve">Insert % of F&amp;B Revenue </t>
  </si>
  <si>
    <t xml:space="preserve">Insert % of TOTAL Revenue </t>
  </si>
  <si>
    <t>Insert Rent figure</t>
  </si>
  <si>
    <t>Insert COST per room</t>
  </si>
  <si>
    <t>Rest/outlet Food sales per day</t>
  </si>
  <si>
    <t>Insert estimated occ %</t>
  </si>
  <si>
    <t>Insert estimated ADR €</t>
  </si>
  <si>
    <t>Key Performance Indicators</t>
  </si>
  <si>
    <t>Total Payroll Cost</t>
  </si>
  <si>
    <t>Other Staff/Payroll Costs</t>
  </si>
  <si>
    <t>Total Payroll %</t>
  </si>
  <si>
    <t>Food &amp; Beverage Gross Margin</t>
  </si>
  <si>
    <t>Occupancy</t>
  </si>
  <si>
    <t>ADR</t>
  </si>
  <si>
    <t>TRevPAR</t>
  </si>
  <si>
    <t>EBITDA %</t>
  </si>
  <si>
    <t>Non-Current Assets</t>
  </si>
  <si>
    <t>Land &amp; Buildings</t>
  </si>
  <si>
    <t>Fixtures and Fittings</t>
  </si>
  <si>
    <t>Current Assets</t>
  </si>
  <si>
    <t>Cash</t>
  </si>
  <si>
    <t>Stock</t>
  </si>
  <si>
    <t>Total Assets</t>
  </si>
  <si>
    <t>Current Liabilities</t>
  </si>
  <si>
    <t>Bank overdraft</t>
  </si>
  <si>
    <t>Tax liabilities</t>
  </si>
  <si>
    <t>Bank Loans (&lt; 1 Year)</t>
  </si>
  <si>
    <t>Long Term Liabilities</t>
  </si>
  <si>
    <t>Bank Loans (&gt; 1 Year)</t>
  </si>
  <si>
    <t>Shareholder Loan</t>
  </si>
  <si>
    <t>Total Liabilities</t>
  </si>
  <si>
    <t>Net Assets</t>
  </si>
  <si>
    <t>Debtors &amp; Prepayments</t>
  </si>
  <si>
    <t>Trade &amp; other creditors</t>
  </si>
  <si>
    <t>LESS Current Debt Repayments/Financing Costs</t>
  </si>
  <si>
    <t>ADD Government Supports</t>
  </si>
  <si>
    <t>ADD Grant Funding</t>
  </si>
  <si>
    <t>LESS Other outflows</t>
  </si>
  <si>
    <t>ADD Other Inflows</t>
  </si>
  <si>
    <t>Free Cashflows Generated By the Business</t>
  </si>
  <si>
    <t>Closing Balance</t>
  </si>
  <si>
    <t>SEE BELOW TO COMPLETE CALCULATIONS</t>
  </si>
  <si>
    <t>Introduction</t>
  </si>
  <si>
    <t>1. Historic P&amp;L</t>
  </si>
  <si>
    <t>2 P&amp;L Projections</t>
  </si>
  <si>
    <t>Historic P&amp;L</t>
  </si>
  <si>
    <t>Only populate the orange cells</t>
  </si>
  <si>
    <t>Complete only the relevant cost/revenue items</t>
  </si>
  <si>
    <t>Year of Start of Historic data</t>
  </si>
  <si>
    <t>This information will link to the P&amp;L projections tab</t>
  </si>
  <si>
    <t>P&amp;L Projections</t>
  </si>
  <si>
    <t>Follow the direct line instructions for completion of each cost/revenue heading</t>
  </si>
  <si>
    <t>Complete only the relevant asset/liabilitiy items</t>
  </si>
  <si>
    <t>Complete this for the 3 years that you have provided historic P&amp;L data for</t>
  </si>
  <si>
    <t>Cashflow Analysis</t>
  </si>
  <si>
    <t>This is from the start of the projection period</t>
  </si>
  <si>
    <t>The EBITDA will link from the P&amp;L Projections tab</t>
  </si>
  <si>
    <r>
      <t xml:space="preserve">Opening Balance </t>
    </r>
    <r>
      <rPr>
        <b/>
        <sz val="11"/>
        <color theme="1"/>
        <rFont val="Calibri"/>
        <family val="2"/>
        <scheme val="minor"/>
      </rPr>
      <t>(Complete first cell only)</t>
    </r>
  </si>
  <si>
    <t>Other Costs</t>
  </si>
  <si>
    <t xml:space="preserve">Insert % of Other Revenue </t>
  </si>
  <si>
    <t>LESS Capex (excluding any capex related to the funding request)</t>
  </si>
  <si>
    <t>LESS Corporation Tax Payments</t>
  </si>
  <si>
    <t>N1</t>
  </si>
  <si>
    <r>
      <rPr>
        <b/>
        <sz val="11"/>
        <color theme="1"/>
        <rFont val="Calibri"/>
        <family val="2"/>
        <scheme val="minor"/>
      </rPr>
      <t xml:space="preserve">N1: </t>
    </r>
    <r>
      <rPr>
        <sz val="11"/>
        <color theme="1"/>
        <rFont val="Calibri"/>
        <family val="2"/>
        <scheme val="minor"/>
      </rPr>
      <t>the free cashflows generated by the business will help the lender in determining your repayment capcity for your funding request</t>
    </r>
  </si>
  <si>
    <t>Other Department Costs</t>
  </si>
  <si>
    <t>ONLY POPULATE THE ORANGE CELLS</t>
  </si>
  <si>
    <t>Spa and Leisure</t>
  </si>
  <si>
    <t>Spa &amp; Leisure - Cost of Sales</t>
  </si>
  <si>
    <t>Spa &amp; Leisure - Payroll</t>
  </si>
  <si>
    <t>Spa &amp; Leisure - Other Costs</t>
  </si>
  <si>
    <t>Departmental Profit %</t>
  </si>
  <si>
    <t>HOTEL ABC</t>
  </si>
  <si>
    <t>Spa &amp; Leisure</t>
  </si>
  <si>
    <t xml:space="preserve">Insert % of Spa/Leis Rev </t>
  </si>
  <si>
    <t>Spa Revenue Inputs</t>
  </si>
  <si>
    <t>Number of treatment rooms</t>
  </si>
  <si>
    <t>Number of hours open per day</t>
  </si>
  <si>
    <t>Total available treatment hours</t>
  </si>
  <si>
    <t>Number of hourly treatments sold</t>
  </si>
  <si>
    <t>Treatment Occupancy</t>
  </si>
  <si>
    <t>Average Hourly treatment rate</t>
  </si>
  <si>
    <t>Leisure Revenue Inputs</t>
  </si>
  <si>
    <t>Total number of memberships</t>
  </si>
  <si>
    <t>Additional Revenue</t>
  </si>
  <si>
    <t>Retail Sales</t>
  </si>
  <si>
    <t>Retail sales - % of spa revenue</t>
  </si>
  <si>
    <t>Total treatment revenue</t>
  </si>
  <si>
    <t>Total Spa Revenue</t>
  </si>
  <si>
    <t>Revenue from Classes</t>
  </si>
  <si>
    <t>Total membership revenue</t>
  </si>
  <si>
    <t>Average annual membership rate</t>
  </si>
  <si>
    <t>Total Leisure Centre Revenue</t>
  </si>
  <si>
    <t>PROJECTED</t>
  </si>
  <si>
    <t>BALANCE SHEET</t>
  </si>
  <si>
    <t>HISTORIC</t>
  </si>
  <si>
    <t>Year of start of Historic Data</t>
  </si>
  <si>
    <t>Current BS Date</t>
  </si>
  <si>
    <t>CASHFLOW REPORT</t>
  </si>
  <si>
    <t>Year of start of Projections</t>
  </si>
  <si>
    <t>Profit and Loss Statement</t>
  </si>
  <si>
    <t>Cash outflows</t>
  </si>
  <si>
    <t>Cash Inflows</t>
  </si>
  <si>
    <t xml:space="preserve">Balance Sheet </t>
  </si>
  <si>
    <t>3 Balance Sheet</t>
  </si>
  <si>
    <t>4 Cashflow Analysis</t>
  </si>
  <si>
    <t>The 3 year historic information will link from the historic p&amp;l tab</t>
  </si>
  <si>
    <t>Also include the latest balance sheet</t>
  </si>
  <si>
    <t>EACH TAB IS SET UP TO PRINT THE RELEVANT TEMPLATES TO INCLUDE IN THE BUSINESS PLAN</t>
  </si>
  <si>
    <t xml:space="preserve">There are 4 templates (tabs) to be completed </t>
  </si>
  <si>
    <t>Average Food spend pp per function</t>
  </si>
  <si>
    <t>CURRENT</t>
  </si>
  <si>
    <t>Total Annual Food</t>
  </si>
  <si>
    <t>Beverage Revenue - Annual</t>
  </si>
  <si>
    <t>% of revenue for Annual food Sales</t>
  </si>
  <si>
    <r>
      <rPr>
        <b/>
        <sz val="20"/>
        <color theme="0"/>
        <rFont val="Calibri"/>
        <family val="2"/>
        <scheme val="minor"/>
      </rPr>
      <t>CASHFLOW REPORT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</si>
  <si>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BALANCE SHEET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>Designed in partnership with Crowe</t>
    </r>
  </si>
  <si>
    <r>
      <rPr>
        <b/>
        <sz val="20"/>
        <color theme="0"/>
        <rFont val="Calibri"/>
        <family val="2"/>
        <scheme val="minor"/>
      </rPr>
      <t>P&amp;L PROJECTIONS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</si>
  <si>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HISTORIC P&amp;L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</si>
</sst>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€&quot;#,##0;[Red]\-&quot;€&quot;#,##0"/>
    <numFmt numFmtId="43" formatCode="_-* #,##0.00_-;\-* #,##0.00_-;_-* &quot;-&quot;??_-;_-@_-"/>
    <numFmt numFmtId="164" formatCode="&quot;€&quot;0.0;\(&quot;€&quot;0.0\);\-"/>
    <numFmt numFmtId="165" formatCode="#,##0;\(#,##0\);\-"/>
    <numFmt numFmtId="166" formatCode="&quot;€&quot;#,##0"/>
    <numFmt numFmtId="167" formatCode="0.0%"/>
    <numFmt numFmtId="168" formatCode="_-* #,##0_-;\-* #,##0_-;_-* &quot;-&quot;??_-;_-@_-"/>
    <numFmt numFmtId="169" formatCode="&quot;€&quot;#,##0.00"/>
    <numFmt numFmtId="170" formatCode="&quot;€&quot;#,##0,&quot;k&quot;;[Red]\ \-&quot;€&quot;#,##0,&quot;k&quot;;"/>
    <numFmt numFmtId="171" formatCode="&quot;€&quot;0.00;\(&quot;€&quot;0.00\);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/>
    <xf numFmtId="166" fontId="0" fillId="0" borderId="0" xfId="0" applyNumberFormat="1" applyFont="1"/>
    <xf numFmtId="169" fontId="0" fillId="0" borderId="0" xfId="0" applyNumberFormat="1" applyFont="1"/>
    <xf numFmtId="0" fontId="0" fillId="0" borderId="0" xfId="0" applyFill="1"/>
    <xf numFmtId="0" fontId="0" fillId="6" borderId="0" xfId="0" applyFill="1" applyBorder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5" xfId="0" applyFont="1" applyFill="1" applyBorder="1"/>
    <xf numFmtId="0" fontId="7" fillId="5" borderId="0" xfId="0" applyFont="1" applyFill="1" applyAlignment="1" applyProtection="1"/>
    <xf numFmtId="0" fontId="7" fillId="0" borderId="0" xfId="0" applyFont="1" applyFill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0" borderId="5" xfId="0" applyFont="1" applyBorder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3" fillId="0" borderId="2" xfId="0" applyFont="1" applyBorder="1" applyProtection="1"/>
    <xf numFmtId="17" fontId="3" fillId="0" borderId="3" xfId="0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2" fillId="2" borderId="5" xfId="3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right" vertical="center" wrapText="1"/>
    </xf>
    <xf numFmtId="0" fontId="2" fillId="2" borderId="6" xfId="3" applyFont="1" applyFill="1" applyBorder="1" applyAlignment="1" applyProtection="1">
      <alignment horizontal="right" vertical="center" wrapText="1"/>
    </xf>
    <xf numFmtId="0" fontId="3" fillId="0" borderId="5" xfId="0" applyFont="1" applyBorder="1" applyProtection="1"/>
    <xf numFmtId="166" fontId="6" fillId="0" borderId="0" xfId="3" applyNumberFormat="1" applyFont="1" applyBorder="1" applyAlignment="1" applyProtection="1">
      <alignment vertical="center"/>
    </xf>
    <xf numFmtId="166" fontId="6" fillId="0" borderId="6" xfId="3" applyNumberFormat="1" applyFont="1" applyBorder="1" applyAlignment="1" applyProtection="1">
      <alignment vertical="center"/>
    </xf>
    <xf numFmtId="166" fontId="0" fillId="0" borderId="0" xfId="0" applyNumberFormat="1" applyFont="1" applyProtection="1"/>
    <xf numFmtId="169" fontId="0" fillId="0" borderId="0" xfId="0" applyNumberFormat="1" applyFont="1" applyProtection="1"/>
    <xf numFmtId="166" fontId="6" fillId="5" borderId="0" xfId="3" applyNumberFormat="1" applyFont="1" applyFill="1" applyBorder="1" applyAlignment="1" applyProtection="1">
      <alignment vertical="center"/>
    </xf>
    <xf numFmtId="166" fontId="6" fillId="5" borderId="6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Border="1" applyAlignment="1" applyProtection="1">
      <alignment vertical="center"/>
    </xf>
    <xf numFmtId="6" fontId="6" fillId="5" borderId="6" xfId="3" applyNumberFormat="1" applyFont="1" applyFill="1" applyBorder="1" applyAlignment="1" applyProtection="1">
      <alignment vertical="center"/>
    </xf>
    <xf numFmtId="0" fontId="3" fillId="0" borderId="0" xfId="0" applyFont="1" applyProtection="1"/>
    <xf numFmtId="166" fontId="3" fillId="0" borderId="0" xfId="0" applyNumberFormat="1" applyFont="1" applyBorder="1" applyProtection="1"/>
    <xf numFmtId="166" fontId="3" fillId="0" borderId="6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6" xfId="0" applyNumberFormat="1" applyFont="1" applyBorder="1" applyProtection="1"/>
    <xf numFmtId="0" fontId="0" fillId="0" borderId="7" xfId="0" applyFont="1" applyBorder="1" applyProtection="1"/>
    <xf numFmtId="166" fontId="0" fillId="0" borderId="8" xfId="0" applyNumberFormat="1" applyFont="1" applyBorder="1" applyProtection="1"/>
    <xf numFmtId="166" fontId="0" fillId="0" borderId="9" xfId="0" applyNumberFormat="1" applyFont="1" applyBorder="1" applyProtection="1"/>
    <xf numFmtId="0" fontId="0" fillId="0" borderId="2" xfId="0" applyFont="1" applyBorder="1" applyProtection="1"/>
    <xf numFmtId="0" fontId="0" fillId="0" borderId="3" xfId="0" applyFont="1" applyFill="1" applyBorder="1" applyProtection="1"/>
    <xf numFmtId="17" fontId="0" fillId="5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vertical="center"/>
    </xf>
    <xf numFmtId="17" fontId="2" fillId="2" borderId="6" xfId="3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wrapText="1" readingOrder="1"/>
    </xf>
    <xf numFmtId="0" fontId="3" fillId="0" borderId="0" xfId="0" applyFont="1" applyBorder="1" applyAlignment="1" applyProtection="1">
      <alignment horizontal="left" wrapText="1" readingOrder="1"/>
    </xf>
    <xf numFmtId="0" fontId="0" fillId="0" borderId="5" xfId="0" applyFont="1" applyBorder="1" applyAlignment="1" applyProtection="1">
      <alignment horizontal="left" wrapText="1" readingOrder="1"/>
    </xf>
    <xf numFmtId="170" fontId="0" fillId="5" borderId="0" xfId="0" applyNumberFormat="1" applyFont="1" applyFill="1" applyBorder="1" applyProtection="1"/>
    <xf numFmtId="170" fontId="0" fillId="5" borderId="6" xfId="0" applyNumberFormat="1" applyFont="1" applyFill="1" applyBorder="1" applyProtection="1"/>
    <xf numFmtId="170" fontId="0" fillId="5" borderId="1" xfId="0" applyNumberFormat="1" applyFont="1" applyFill="1" applyBorder="1" applyProtection="1"/>
    <xf numFmtId="170" fontId="0" fillId="5" borderId="10" xfId="0" applyNumberFormat="1" applyFont="1" applyFill="1" applyBorder="1" applyProtection="1"/>
    <xf numFmtId="0" fontId="0" fillId="0" borderId="5" xfId="0" applyFont="1" applyBorder="1" applyAlignment="1" applyProtection="1">
      <alignment vertical="center" wrapText="1"/>
    </xf>
    <xf numFmtId="170" fontId="0" fillId="0" borderId="0" xfId="0" applyNumberFormat="1" applyFont="1" applyBorder="1" applyProtection="1"/>
    <xf numFmtId="170" fontId="0" fillId="0" borderId="6" xfId="0" applyNumberFormat="1" applyFont="1" applyBorder="1" applyProtection="1"/>
    <xf numFmtId="0" fontId="3" fillId="3" borderId="5" xfId="0" applyFont="1" applyFill="1" applyBorder="1" applyAlignment="1" applyProtection="1">
      <alignment vertical="center" wrapText="1"/>
    </xf>
    <xf numFmtId="170" fontId="3" fillId="3" borderId="0" xfId="0" applyNumberFormat="1" applyFont="1" applyFill="1" applyBorder="1" applyProtection="1"/>
    <xf numFmtId="170" fontId="3" fillId="3" borderId="6" xfId="0" applyNumberFormat="1" applyFont="1" applyFill="1" applyBorder="1" applyProtection="1"/>
    <xf numFmtId="0" fontId="3" fillId="3" borderId="7" xfId="0" applyFont="1" applyFill="1" applyBorder="1" applyAlignment="1" applyProtection="1">
      <alignment horizontal="left" wrapText="1" readingOrder="1"/>
    </xf>
    <xf numFmtId="170" fontId="3" fillId="3" borderId="8" xfId="0" applyNumberFormat="1" applyFont="1" applyFill="1" applyBorder="1" applyProtection="1"/>
    <xf numFmtId="0" fontId="0" fillId="0" borderId="8" xfId="0" applyFont="1" applyBorder="1" applyProtection="1"/>
    <xf numFmtId="170" fontId="3" fillId="3" borderId="9" xfId="0" applyNumberFormat="1" applyFont="1" applyFill="1" applyBorder="1" applyProtection="1"/>
    <xf numFmtId="0" fontId="3" fillId="0" borderId="0" xfId="0" applyFont="1" applyAlignment="1" applyProtection="1"/>
    <xf numFmtId="0" fontId="3" fillId="5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8" borderId="6" xfId="0" applyFont="1" applyFill="1" applyBorder="1" applyAlignment="1" applyProtection="1">
      <alignment horizontal="center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168" fontId="4" fillId="0" borderId="0" xfId="1" applyNumberFormat="1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168" fontId="4" fillId="0" borderId="6" xfId="1" applyNumberFormat="1" applyFont="1" applyBorder="1" applyAlignment="1" applyProtection="1">
      <alignment vertical="center"/>
    </xf>
    <xf numFmtId="0" fontId="0" fillId="6" borderId="5" xfId="0" applyFont="1" applyFill="1" applyBorder="1" applyProtection="1"/>
    <xf numFmtId="9" fontId="4" fillId="5" borderId="0" xfId="2" applyFont="1" applyFill="1" applyBorder="1" applyAlignment="1" applyProtection="1">
      <alignment vertical="center"/>
    </xf>
    <xf numFmtId="9" fontId="4" fillId="0" borderId="0" xfId="2" applyFont="1" applyFill="1" applyBorder="1" applyAlignment="1" applyProtection="1">
      <alignment vertical="center"/>
    </xf>
    <xf numFmtId="9" fontId="4" fillId="0" borderId="6" xfId="2" applyFont="1" applyFill="1" applyBorder="1" applyAlignment="1" applyProtection="1">
      <alignment vertical="center"/>
    </xf>
    <xf numFmtId="171" fontId="4" fillId="5" borderId="0" xfId="3" applyNumberFormat="1" applyFont="1" applyFill="1" applyBorder="1" applyAlignment="1" applyProtection="1">
      <alignment vertical="center"/>
    </xf>
    <xf numFmtId="171" fontId="4" fillId="0" borderId="0" xfId="3" applyNumberFormat="1" applyFont="1" applyFill="1" applyBorder="1" applyAlignment="1" applyProtection="1">
      <alignment vertical="center"/>
    </xf>
    <xf numFmtId="171" fontId="4" fillId="0" borderId="6" xfId="3" applyNumberFormat="1" applyFont="1" applyFill="1" applyBorder="1" applyAlignment="1" applyProtection="1">
      <alignment vertical="center"/>
    </xf>
    <xf numFmtId="171" fontId="4" fillId="0" borderId="0" xfId="3" applyNumberFormat="1" applyFont="1" applyBorder="1" applyAlignment="1" applyProtection="1">
      <alignment vertical="center"/>
    </xf>
    <xf numFmtId="171" fontId="4" fillId="0" borderId="6" xfId="3" applyNumberFormat="1" applyFont="1" applyBorder="1" applyAlignment="1" applyProtection="1">
      <alignment vertical="center"/>
    </xf>
    <xf numFmtId="164" fontId="4" fillId="0" borderId="0" xfId="3" applyNumberFormat="1" applyFont="1" applyBorder="1" applyAlignment="1" applyProtection="1">
      <alignment vertical="center"/>
    </xf>
    <xf numFmtId="164" fontId="4" fillId="0" borderId="6" xfId="3" applyNumberFormat="1" applyFont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165" fontId="5" fillId="0" borderId="0" xfId="3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/>
    </xf>
    <xf numFmtId="165" fontId="5" fillId="0" borderId="6" xfId="3" applyNumberFormat="1" applyFont="1" applyFill="1" applyBorder="1" applyAlignment="1" applyProtection="1">
      <alignment vertical="center"/>
    </xf>
    <xf numFmtId="43" fontId="6" fillId="0" borderId="0" xfId="1" applyFont="1" applyBorder="1" applyProtection="1"/>
    <xf numFmtId="166" fontId="6" fillId="0" borderId="0" xfId="0" applyNumberFormat="1" applyFont="1" applyFill="1" applyBorder="1" applyProtection="1"/>
    <xf numFmtId="43" fontId="6" fillId="0" borderId="5" xfId="1" applyFont="1" applyBorder="1" applyProtection="1"/>
    <xf numFmtId="166" fontId="6" fillId="0" borderId="6" xfId="0" applyNumberFormat="1" applyFont="1" applyFill="1" applyBorder="1" applyProtection="1"/>
    <xf numFmtId="167" fontId="6" fillId="5" borderId="0" xfId="2" applyNumberFormat="1" applyFont="1" applyFill="1" applyBorder="1" applyProtection="1"/>
    <xf numFmtId="0" fontId="5" fillId="4" borderId="0" xfId="3" applyFont="1" applyFill="1" applyBorder="1" applyAlignment="1" applyProtection="1">
      <alignment vertical="center"/>
    </xf>
    <xf numFmtId="166" fontId="5" fillId="4" borderId="0" xfId="3" applyNumberFormat="1" applyFont="1" applyFill="1" applyBorder="1" applyAlignment="1" applyProtection="1">
      <alignment vertical="center"/>
    </xf>
    <xf numFmtId="0" fontId="5" fillId="4" borderId="5" xfId="3" applyFont="1" applyFill="1" applyBorder="1" applyAlignment="1" applyProtection="1">
      <alignment vertical="center"/>
    </xf>
    <xf numFmtId="166" fontId="5" fillId="4" borderId="6" xfId="3" applyNumberFormat="1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6" fillId="0" borderId="5" xfId="3" applyFont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5" xfId="3" applyFont="1" applyBorder="1" applyAlignment="1" applyProtection="1">
      <alignment vertical="center"/>
    </xf>
    <xf numFmtId="167" fontId="6" fillId="5" borderId="0" xfId="2" applyNumberFormat="1" applyFont="1" applyFill="1" applyBorder="1" applyAlignment="1" applyProtection="1">
      <alignment vertical="center"/>
    </xf>
    <xf numFmtId="0" fontId="0" fillId="0" borderId="0" xfId="3" applyFont="1" applyBorder="1" applyProtection="1"/>
    <xf numFmtId="0" fontId="0" fillId="0" borderId="5" xfId="3" applyFont="1" applyBorder="1" applyProtection="1"/>
    <xf numFmtId="0" fontId="0" fillId="0" borderId="0" xfId="3" applyFont="1" applyFill="1" applyBorder="1" applyProtection="1"/>
    <xf numFmtId="0" fontId="0" fillId="0" borderId="5" xfId="3" applyFont="1" applyFill="1" applyBorder="1" applyProtection="1"/>
    <xf numFmtId="166" fontId="6" fillId="0" borderId="0" xfId="3" applyNumberFormat="1" applyFont="1" applyFill="1" applyBorder="1" applyAlignment="1" applyProtection="1">
      <alignment vertical="center"/>
    </xf>
    <xf numFmtId="165" fontId="5" fillId="0" borderId="0" xfId="3" applyNumberFormat="1" applyFont="1" applyBorder="1" applyAlignment="1" applyProtection="1">
      <alignment vertical="center"/>
    </xf>
    <xf numFmtId="165" fontId="5" fillId="0" borderId="6" xfId="3" applyNumberFormat="1" applyFont="1" applyBorder="1" applyAlignment="1" applyProtection="1">
      <alignment vertical="center"/>
    </xf>
    <xf numFmtId="166" fontId="6" fillId="0" borderId="0" xfId="0" applyNumberFormat="1" applyFont="1" applyBorder="1" applyProtection="1"/>
    <xf numFmtId="166" fontId="6" fillId="0" borderId="6" xfId="0" applyNumberFormat="1" applyFont="1" applyBorder="1" applyProtection="1"/>
    <xf numFmtId="0" fontId="3" fillId="0" borderId="0" xfId="0" applyFont="1" applyBorder="1" applyProtection="1"/>
    <xf numFmtId="166" fontId="6" fillId="5" borderId="0" xfId="0" applyNumberFormat="1" applyFont="1" applyFill="1" applyBorder="1" applyProtection="1"/>
    <xf numFmtId="165" fontId="6" fillId="0" borderId="0" xfId="3" applyNumberFormat="1" applyFont="1" applyBorder="1" applyAlignment="1" applyProtection="1">
      <alignment vertical="center"/>
    </xf>
    <xf numFmtId="165" fontId="6" fillId="0" borderId="6" xfId="3" applyNumberFormat="1" applyFont="1" applyBorder="1" applyAlignment="1" applyProtection="1">
      <alignment vertical="center"/>
    </xf>
    <xf numFmtId="166" fontId="5" fillId="0" borderId="0" xfId="3" applyNumberFormat="1" applyFont="1" applyFill="1" applyBorder="1" applyAlignment="1" applyProtection="1">
      <alignment vertical="center"/>
    </xf>
    <xf numFmtId="167" fontId="5" fillId="0" borderId="0" xfId="4" applyNumberFormat="1" applyFont="1" applyFill="1" applyBorder="1" applyAlignment="1" applyProtection="1">
      <alignment vertical="center"/>
    </xf>
    <xf numFmtId="167" fontId="5" fillId="0" borderId="6" xfId="4" applyNumberFormat="1" applyFont="1" applyFill="1" applyBorder="1" applyAlignment="1" applyProtection="1">
      <alignment vertical="center"/>
    </xf>
    <xf numFmtId="167" fontId="0" fillId="0" borderId="0" xfId="0" applyNumberFormat="1" applyFont="1" applyBorder="1" applyProtection="1"/>
    <xf numFmtId="167" fontId="0" fillId="0" borderId="6" xfId="0" applyNumberFormat="1" applyFont="1" applyBorder="1" applyProtection="1"/>
    <xf numFmtId="0" fontId="0" fillId="5" borderId="0" xfId="0" applyFont="1" applyFill="1" applyBorder="1" applyProtection="1"/>
    <xf numFmtId="169" fontId="0" fillId="0" borderId="0" xfId="0" applyNumberFormat="1" applyFont="1" applyBorder="1" applyProtection="1"/>
    <xf numFmtId="169" fontId="0" fillId="0" borderId="6" xfId="0" applyNumberFormat="1" applyFont="1" applyBorder="1" applyProtection="1"/>
    <xf numFmtId="169" fontId="0" fillId="5" borderId="1" xfId="0" applyNumberFormat="1" applyFont="1" applyFill="1" applyBorder="1" applyProtection="1"/>
    <xf numFmtId="167" fontId="0" fillId="0" borderId="0" xfId="2" applyNumberFormat="1" applyFont="1" applyBorder="1" applyProtection="1"/>
    <xf numFmtId="167" fontId="0" fillId="0" borderId="6" xfId="2" applyNumberFormat="1" applyFont="1" applyBorder="1" applyProtection="1"/>
    <xf numFmtId="167" fontId="0" fillId="0" borderId="8" xfId="2" applyNumberFormat="1" applyFont="1" applyBorder="1" applyProtection="1"/>
    <xf numFmtId="167" fontId="0" fillId="0" borderId="9" xfId="2" applyNumberFormat="1" applyFont="1" applyBorder="1" applyProtection="1"/>
    <xf numFmtId="9" fontId="0" fillId="5" borderId="0" xfId="2" applyFont="1" applyFill="1" applyBorder="1" applyProtection="1"/>
    <xf numFmtId="9" fontId="0" fillId="5" borderId="1" xfId="2" applyFont="1" applyFill="1" applyBorder="1" applyProtection="1"/>
    <xf numFmtId="168" fontId="0" fillId="0" borderId="0" xfId="1" applyNumberFormat="1" applyFont="1" applyBorder="1" applyProtection="1"/>
    <xf numFmtId="168" fontId="0" fillId="5" borderId="0" xfId="1" applyNumberFormat="1" applyFont="1" applyFill="1" applyBorder="1" applyProtection="1"/>
    <xf numFmtId="9" fontId="0" fillId="0" borderId="0" xfId="2" applyFont="1" applyBorder="1" applyProtection="1"/>
    <xf numFmtId="169" fontId="6" fillId="5" borderId="0" xfId="3" applyNumberFormat="1" applyFont="1" applyFill="1" applyBorder="1" applyAlignment="1" applyProtection="1">
      <alignment vertical="center"/>
    </xf>
    <xf numFmtId="0" fontId="0" fillId="0" borderId="9" xfId="0" applyFont="1" applyBorder="1" applyProtection="1"/>
    <xf numFmtId="0" fontId="7" fillId="5" borderId="0" xfId="0" applyFont="1" applyFill="1" applyAlignment="1" applyProtection="1">
      <alignment horizontal="left"/>
    </xf>
    <xf numFmtId="0" fontId="7" fillId="10" borderId="0" xfId="0" applyFont="1" applyFill="1" applyAlignment="1" applyProtection="1">
      <alignment horizontal="left"/>
    </xf>
    <xf numFmtId="0" fontId="0" fillId="0" borderId="0" xfId="0" applyProtection="1"/>
    <xf numFmtId="0" fontId="0" fillId="0" borderId="0" xfId="0" applyFont="1" applyFill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2" fillId="2" borderId="2" xfId="3" applyFont="1" applyFill="1" applyBorder="1" applyAlignment="1" applyProtection="1">
      <alignment vertical="center"/>
    </xf>
    <xf numFmtId="0" fontId="2" fillId="2" borderId="3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167" fontId="4" fillId="5" borderId="0" xfId="2" applyNumberFormat="1" applyFont="1" applyFill="1" applyBorder="1" applyAlignment="1" applyProtection="1">
      <alignment vertical="center"/>
    </xf>
    <xf numFmtId="167" fontId="4" fillId="5" borderId="6" xfId="2" applyNumberFormat="1" applyFont="1" applyFill="1" applyBorder="1" applyAlignment="1" applyProtection="1">
      <alignment vertical="center"/>
    </xf>
    <xf numFmtId="169" fontId="4" fillId="5" borderId="0" xfId="3" applyNumberFormat="1" applyFont="1" applyFill="1" applyBorder="1" applyAlignment="1" applyProtection="1">
      <alignment vertical="center"/>
    </xf>
    <xf numFmtId="169" fontId="4" fillId="5" borderId="6" xfId="3" applyNumberFormat="1" applyFont="1" applyFill="1" applyBorder="1" applyAlignment="1" applyProtection="1">
      <alignment vertical="center"/>
    </xf>
    <xf numFmtId="169" fontId="4" fillId="0" borderId="0" xfId="3" applyNumberFormat="1" applyFont="1" applyFill="1" applyBorder="1" applyAlignment="1" applyProtection="1">
      <alignment vertical="center"/>
    </xf>
    <xf numFmtId="169" fontId="4" fillId="0" borderId="6" xfId="3" applyNumberFormat="1" applyFont="1" applyFill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0" fontId="6" fillId="0" borderId="6" xfId="3" applyFont="1" applyFill="1" applyBorder="1" applyAlignment="1" applyProtection="1">
      <alignment vertical="center"/>
    </xf>
    <xf numFmtId="0" fontId="6" fillId="0" borderId="6" xfId="3" applyFont="1" applyBorder="1" applyAlignment="1" applyProtection="1">
      <alignment vertical="center"/>
    </xf>
    <xf numFmtId="0" fontId="5" fillId="0" borderId="6" xfId="3" applyFont="1" applyBorder="1" applyAlignment="1" applyProtection="1">
      <alignment vertical="center"/>
    </xf>
    <xf numFmtId="9" fontId="8" fillId="0" borderId="0" xfId="2" applyFont="1" applyBorder="1" applyAlignment="1" applyProtection="1">
      <alignment vertical="center"/>
    </xf>
    <xf numFmtId="9" fontId="8" fillId="0" borderId="6" xfId="2" applyFont="1" applyBorder="1" applyAlignment="1" applyProtection="1">
      <alignment vertical="center"/>
    </xf>
    <xf numFmtId="0" fontId="9" fillId="7" borderId="11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0" fillId="8" borderId="0" xfId="0" applyFont="1" applyFill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left"/>
    </xf>
    <xf numFmtId="0" fontId="0" fillId="9" borderId="0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7" borderId="12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Normal" xfId="0" builtinId="0"/>
    <cellStyle name="Normal 2" xfId="3" xr:uid="{A07FD19F-0CD5-45B1-BE18-8F56456E0394}"/>
    <cellStyle name="Percent" xfId="2" builtinId="5"/>
    <cellStyle name="Percent 2" xfId="4" xr:uid="{B44909A0-B1F0-4652-8E82-6DE7FD22A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123857</xdr:colOff>
      <xdr:row>2</xdr:row>
      <xdr:rowOff>38111</xdr:rowOff>
    </xdr:from>
    <xdr:to>
      <xdr:col>4</xdr:col>
      <xdr:colOff>833129</xdr:colOff>
      <xdr:row>2</xdr:row>
      <xdr:rowOff>580968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9EB25F-FD41-45BC-B805-22F1612FD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32" y="457211"/>
          <a:ext cx="2728572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19</xdr:row>
      <xdr:rowOff>114300</xdr:rowOff>
    </xdr:from>
    <xdr:to>
      <xdr:col>1</xdr:col>
      <xdr:colOff>1945350</xdr:colOff>
      <xdr:row>19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F867B07-753C-4CCF-84D8-901FAA410F6C}"/>
            </a:ext>
          </a:extLst>
        </xdr:cNvPr>
        <xdr:cNvCxnSpPr/>
      </xdr:nvCxnSpPr>
      <xdr:spPr>
        <a:xfrm>
          <a:off x="1847850" y="4038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23</xdr:row>
      <xdr:rowOff>114300</xdr:rowOff>
    </xdr:from>
    <xdr:to>
      <xdr:col>1</xdr:col>
      <xdr:colOff>1945350</xdr:colOff>
      <xdr:row>23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13EB77-E4ED-4492-9B57-6364DB0C2C1C}"/>
            </a:ext>
          </a:extLst>
        </xdr:cNvPr>
        <xdr:cNvCxnSpPr/>
      </xdr:nvCxnSpPr>
      <xdr:spPr>
        <a:xfrm>
          <a:off x="1847850" y="4800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24</xdr:row>
      <xdr:rowOff>114300</xdr:rowOff>
    </xdr:from>
    <xdr:to>
      <xdr:col>1</xdr:col>
      <xdr:colOff>1945350</xdr:colOff>
      <xdr:row>24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EA0C420-750B-4DCE-880C-3E26C4C2148A}"/>
            </a:ext>
          </a:extLst>
        </xdr:cNvPr>
        <xdr:cNvCxnSpPr/>
      </xdr:nvCxnSpPr>
      <xdr:spPr>
        <a:xfrm>
          <a:off x="1847850" y="4991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25</xdr:row>
      <xdr:rowOff>114300</xdr:rowOff>
    </xdr:from>
    <xdr:to>
      <xdr:col>1</xdr:col>
      <xdr:colOff>1945350</xdr:colOff>
      <xdr:row>25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A254DE-19A3-4ECF-9054-22EEE7013DBE}"/>
            </a:ext>
          </a:extLst>
        </xdr:cNvPr>
        <xdr:cNvCxnSpPr/>
      </xdr:nvCxnSpPr>
      <xdr:spPr>
        <a:xfrm>
          <a:off x="1847850" y="5181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26</xdr:row>
      <xdr:rowOff>114300</xdr:rowOff>
    </xdr:from>
    <xdr:to>
      <xdr:col>1</xdr:col>
      <xdr:colOff>1945350</xdr:colOff>
      <xdr:row>26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5E5D9-620E-4B63-B397-ACC04A42264F}"/>
            </a:ext>
          </a:extLst>
        </xdr:cNvPr>
        <xdr:cNvCxnSpPr/>
      </xdr:nvCxnSpPr>
      <xdr:spPr>
        <a:xfrm>
          <a:off x="1847850" y="5372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27</xdr:row>
      <xdr:rowOff>114300</xdr:rowOff>
    </xdr:from>
    <xdr:to>
      <xdr:col>1</xdr:col>
      <xdr:colOff>1945350</xdr:colOff>
      <xdr:row>27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6930E38-9BA2-4C4E-8AF7-4AEF25C2542A}"/>
            </a:ext>
          </a:extLst>
        </xdr:cNvPr>
        <xdr:cNvCxnSpPr/>
      </xdr:nvCxnSpPr>
      <xdr:spPr>
        <a:xfrm>
          <a:off x="1847850" y="5562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35</xdr:row>
      <xdr:rowOff>114300</xdr:rowOff>
    </xdr:from>
    <xdr:to>
      <xdr:col>1</xdr:col>
      <xdr:colOff>1945350</xdr:colOff>
      <xdr:row>35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BC3597B-EA37-4E6F-9A02-F4EAFF56638F}"/>
            </a:ext>
          </a:extLst>
        </xdr:cNvPr>
        <xdr:cNvCxnSpPr/>
      </xdr:nvCxnSpPr>
      <xdr:spPr>
        <a:xfrm>
          <a:off x="1847850" y="6515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36</xdr:row>
      <xdr:rowOff>114300</xdr:rowOff>
    </xdr:from>
    <xdr:to>
      <xdr:col>1</xdr:col>
      <xdr:colOff>1945350</xdr:colOff>
      <xdr:row>36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91658D-F9DD-4C39-B0F2-731C41628940}"/>
            </a:ext>
          </a:extLst>
        </xdr:cNvPr>
        <xdr:cNvCxnSpPr/>
      </xdr:nvCxnSpPr>
      <xdr:spPr>
        <a:xfrm>
          <a:off x="1847850" y="6705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37</xdr:row>
      <xdr:rowOff>114300</xdr:rowOff>
    </xdr:from>
    <xdr:to>
      <xdr:col>1</xdr:col>
      <xdr:colOff>1945350</xdr:colOff>
      <xdr:row>37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10ECC92-9F95-430F-95A8-53481DDAFA3F}"/>
            </a:ext>
          </a:extLst>
        </xdr:cNvPr>
        <xdr:cNvCxnSpPr/>
      </xdr:nvCxnSpPr>
      <xdr:spPr>
        <a:xfrm>
          <a:off x="1847850" y="6896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38</xdr:row>
      <xdr:rowOff>114300</xdr:rowOff>
    </xdr:from>
    <xdr:to>
      <xdr:col>1</xdr:col>
      <xdr:colOff>1945350</xdr:colOff>
      <xdr:row>38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61D8FE3-82B1-4022-A658-B0469A1D2D40}"/>
            </a:ext>
          </a:extLst>
        </xdr:cNvPr>
        <xdr:cNvCxnSpPr/>
      </xdr:nvCxnSpPr>
      <xdr:spPr>
        <a:xfrm>
          <a:off x="1847850" y="7086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39</xdr:row>
      <xdr:rowOff>114300</xdr:rowOff>
    </xdr:from>
    <xdr:to>
      <xdr:col>1</xdr:col>
      <xdr:colOff>1945350</xdr:colOff>
      <xdr:row>39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2DD4A0-33E5-4FAD-BC38-7C1EAA38B67B}"/>
            </a:ext>
          </a:extLst>
        </xdr:cNvPr>
        <xdr:cNvCxnSpPr/>
      </xdr:nvCxnSpPr>
      <xdr:spPr>
        <a:xfrm>
          <a:off x="1847850" y="7277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45</xdr:row>
      <xdr:rowOff>114300</xdr:rowOff>
    </xdr:from>
    <xdr:to>
      <xdr:col>1</xdr:col>
      <xdr:colOff>1945350</xdr:colOff>
      <xdr:row>45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C7C3D0F-2EF3-4EDE-B0AC-2C73429F387B}"/>
            </a:ext>
          </a:extLst>
        </xdr:cNvPr>
        <xdr:cNvCxnSpPr/>
      </xdr:nvCxnSpPr>
      <xdr:spPr>
        <a:xfrm>
          <a:off x="1847850" y="8420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46</xdr:row>
      <xdr:rowOff>114300</xdr:rowOff>
    </xdr:from>
    <xdr:to>
      <xdr:col>1</xdr:col>
      <xdr:colOff>1945350</xdr:colOff>
      <xdr:row>46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6109A54-BFFA-46B9-A7EF-589573374E18}"/>
            </a:ext>
          </a:extLst>
        </xdr:cNvPr>
        <xdr:cNvCxnSpPr/>
      </xdr:nvCxnSpPr>
      <xdr:spPr>
        <a:xfrm>
          <a:off x="1847850" y="86106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47</xdr:row>
      <xdr:rowOff>114300</xdr:rowOff>
    </xdr:from>
    <xdr:to>
      <xdr:col>1</xdr:col>
      <xdr:colOff>1945350</xdr:colOff>
      <xdr:row>47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B957C18-FD31-427F-AB99-EE303708A96F}"/>
            </a:ext>
          </a:extLst>
        </xdr:cNvPr>
        <xdr:cNvCxnSpPr/>
      </xdr:nvCxnSpPr>
      <xdr:spPr>
        <a:xfrm>
          <a:off x="1847850" y="8801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1495425</xdr:colOff>
      <xdr:row>10</xdr:row>
      <xdr:rowOff>104775</xdr:rowOff>
    </xdr:from>
    <xdr:to>
      <xdr:col>1</xdr:col>
      <xdr:colOff>1971675</xdr:colOff>
      <xdr:row>10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8766289F-863D-47B3-A598-EFB9D7FDCC0C}"/>
            </a:ext>
          </a:extLst>
        </xdr:cNvPr>
        <xdr:cNvCxnSpPr/>
      </xdr:nvCxnSpPr>
      <xdr:spPr>
        <a:xfrm>
          <a:off x="1685925" y="2505075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1495425</xdr:colOff>
      <xdr:row>11</xdr:row>
      <xdr:rowOff>95250</xdr:rowOff>
    </xdr:from>
    <xdr:to>
      <xdr:col>1</xdr:col>
      <xdr:colOff>1971675</xdr:colOff>
      <xdr:row>11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35517E8-C075-4A87-9A1E-D5DE91F23C4C}"/>
            </a:ext>
          </a:extLst>
        </xdr:cNvPr>
        <xdr:cNvCxnSpPr/>
      </xdr:nvCxnSpPr>
      <xdr:spPr>
        <a:xfrm>
          <a:off x="1685925" y="2686050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1666875</xdr:colOff>
      <xdr:row>31</xdr:row>
      <xdr:rowOff>114300</xdr:rowOff>
    </xdr:from>
    <xdr:to>
      <xdr:col>1</xdr:col>
      <xdr:colOff>1954875</xdr:colOff>
      <xdr:row>31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61238C0-4D55-43A9-A39C-6F3D431915F7}"/>
            </a:ext>
          </a:extLst>
        </xdr:cNvPr>
        <xdr:cNvCxnSpPr/>
      </xdr:nvCxnSpPr>
      <xdr:spPr>
        <a:xfrm>
          <a:off x="1857375" y="57531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28</xdr:row>
      <xdr:rowOff>114300</xdr:rowOff>
    </xdr:from>
    <xdr:to>
      <xdr:col>1</xdr:col>
      <xdr:colOff>1945350</xdr:colOff>
      <xdr:row>28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85BEAD0-2ED4-4E90-8A5E-E3FC1DB10071}"/>
            </a:ext>
          </a:extLst>
        </xdr:cNvPr>
        <xdr:cNvCxnSpPr/>
      </xdr:nvCxnSpPr>
      <xdr:spPr>
        <a:xfrm>
          <a:off x="1847850" y="57150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29</xdr:row>
      <xdr:rowOff>114300</xdr:rowOff>
    </xdr:from>
    <xdr:to>
      <xdr:col>1</xdr:col>
      <xdr:colOff>1945350</xdr:colOff>
      <xdr:row>29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BF92832-D0B5-4545-ABFD-AA9531C8406D}"/>
            </a:ext>
          </a:extLst>
        </xdr:cNvPr>
        <xdr:cNvCxnSpPr/>
      </xdr:nvCxnSpPr>
      <xdr:spPr>
        <a:xfrm>
          <a:off x="1847850" y="59055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30</xdr:row>
      <xdr:rowOff>114300</xdr:rowOff>
    </xdr:from>
    <xdr:to>
      <xdr:col>1</xdr:col>
      <xdr:colOff>1945350</xdr:colOff>
      <xdr:row>30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CB1EC53E-00D1-44CE-A3B6-97A0E0468316}"/>
            </a:ext>
          </a:extLst>
        </xdr:cNvPr>
        <xdr:cNvCxnSpPr/>
      </xdr:nvCxnSpPr>
      <xdr:spPr>
        <a:xfrm>
          <a:off x="1847850" y="5905500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133350</xdr:colOff>
      <xdr:row>2</xdr:row>
      <xdr:rowOff>66675</xdr:rowOff>
    </xdr:from>
    <xdr:to>
      <xdr:col>7</xdr:col>
      <xdr:colOff>90147</xdr:colOff>
      <xdr:row>2</xdr:row>
      <xdr:rowOff>609532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435A5E6-02A0-4929-90EC-03EFCD649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5" y="485775"/>
          <a:ext cx="2728572" cy="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</xdr:row>
      <xdr:rowOff>57150</xdr:rowOff>
    </xdr:from>
    <xdr:to>
      <xdr:col>6</xdr:col>
      <xdr:colOff>471147</xdr:colOff>
      <xdr:row>2</xdr:row>
      <xdr:rowOff>600007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D5824A-9AE9-4F45-BB76-6853093A0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8475" y="476250"/>
          <a:ext cx="2728572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</xdr:row>
      <xdr:rowOff>47625</xdr:rowOff>
    </xdr:from>
    <xdr:to>
      <xdr:col>6</xdr:col>
      <xdr:colOff>156822</xdr:colOff>
      <xdr:row>2</xdr:row>
      <xdr:rowOff>590482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A3055E-FA5E-48ED-A909-2321172AD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466725"/>
          <a:ext cx="272857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8AF2-51F1-496E-95F8-32093ECBEC27}">
  <sheetPr>
    <tabColor theme="1"/>
  </sheetPr>
  <dimension ref="B1:L30"/>
  <sheetViews>
    <sheetView showGridLines="0" tabSelected="1" zoomScaleNormal="100" workbookViewId="0"/>
  </sheetViews>
  <sheetFormatPr defaultRowHeight="15" x14ac:dyDescent="0.25"/>
  <cols>
    <col min="1" max="1" width="4.7109375" customWidth="1"/>
  </cols>
  <sheetData>
    <row r="1" spans="2:12" ht="15.75" thickBot="1" x14ac:dyDescent="0.3"/>
    <row r="2" spans="2:12" x14ac:dyDescent="0.25">
      <c r="B2" s="6" t="s">
        <v>88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2:12" x14ac:dyDescent="0.25">
      <c r="B3" s="9" t="s">
        <v>154</v>
      </c>
      <c r="C3" s="5"/>
      <c r="D3" s="5"/>
      <c r="E3" s="5"/>
      <c r="F3" s="5"/>
      <c r="G3" s="5"/>
      <c r="H3" s="5"/>
      <c r="I3" s="5"/>
      <c r="J3" s="5"/>
      <c r="K3" s="5"/>
      <c r="L3" s="10"/>
    </row>
    <row r="4" spans="2:12" x14ac:dyDescent="0.25">
      <c r="B4" s="9" t="s">
        <v>89</v>
      </c>
      <c r="C4" s="5"/>
      <c r="D4" s="5"/>
      <c r="E4" s="5"/>
      <c r="F4" s="5"/>
      <c r="G4" s="5"/>
      <c r="H4" s="5"/>
      <c r="I4" s="5"/>
      <c r="J4" s="5"/>
      <c r="K4" s="5"/>
      <c r="L4" s="10"/>
    </row>
    <row r="5" spans="2:12" x14ac:dyDescent="0.25">
      <c r="B5" s="9" t="s">
        <v>90</v>
      </c>
      <c r="C5" s="5"/>
      <c r="D5" s="5"/>
      <c r="E5" s="5"/>
      <c r="F5" s="5"/>
      <c r="G5" s="5"/>
      <c r="H5" s="5"/>
      <c r="I5" s="5"/>
      <c r="J5" s="5"/>
      <c r="K5" s="5"/>
      <c r="L5" s="10"/>
    </row>
    <row r="6" spans="2:12" x14ac:dyDescent="0.25">
      <c r="B6" s="9" t="s">
        <v>149</v>
      </c>
      <c r="C6" s="5"/>
      <c r="D6" s="5"/>
      <c r="E6" s="5"/>
      <c r="F6" s="5"/>
      <c r="G6" s="5"/>
      <c r="H6" s="5"/>
      <c r="I6" s="5"/>
      <c r="J6" s="5"/>
      <c r="K6" s="5"/>
      <c r="L6" s="10"/>
    </row>
    <row r="7" spans="2:12" x14ac:dyDescent="0.25">
      <c r="B7" s="9" t="s">
        <v>150</v>
      </c>
      <c r="C7" s="5"/>
      <c r="D7" s="5"/>
      <c r="E7" s="5"/>
      <c r="F7" s="5"/>
      <c r="G7" s="5"/>
      <c r="H7" s="5"/>
      <c r="I7" s="5"/>
      <c r="J7" s="5"/>
      <c r="K7" s="5"/>
      <c r="L7" s="10"/>
    </row>
    <row r="8" spans="2:12" x14ac:dyDescent="0.25">
      <c r="B8" s="9"/>
      <c r="C8" s="5"/>
      <c r="D8" s="5"/>
      <c r="E8" s="5"/>
      <c r="F8" s="5"/>
      <c r="G8" s="5"/>
      <c r="H8" s="5"/>
      <c r="I8" s="5"/>
      <c r="J8" s="5"/>
      <c r="K8" s="5"/>
      <c r="L8" s="10"/>
    </row>
    <row r="9" spans="2:12" x14ac:dyDescent="0.25">
      <c r="B9" s="11" t="s">
        <v>91</v>
      </c>
      <c r="C9" s="5"/>
      <c r="D9" s="5"/>
      <c r="E9" s="5"/>
      <c r="F9" s="5"/>
      <c r="G9" s="5"/>
      <c r="H9" s="5"/>
      <c r="I9" s="5"/>
      <c r="J9" s="5"/>
      <c r="K9" s="5"/>
      <c r="L9" s="10"/>
    </row>
    <row r="10" spans="2:12" x14ac:dyDescent="0.25">
      <c r="B10" s="9" t="s">
        <v>92</v>
      </c>
      <c r="C10" s="5"/>
      <c r="D10" s="5"/>
      <c r="E10" s="5"/>
      <c r="F10" s="5"/>
      <c r="G10" s="5"/>
      <c r="H10" s="5"/>
      <c r="I10" s="5"/>
      <c r="J10" s="5"/>
      <c r="K10" s="5"/>
      <c r="L10" s="10"/>
    </row>
    <row r="11" spans="2:12" x14ac:dyDescent="0.25">
      <c r="B11" s="9" t="s">
        <v>93</v>
      </c>
      <c r="C11" s="5"/>
      <c r="D11" s="5"/>
      <c r="E11" s="5"/>
      <c r="F11" s="5"/>
      <c r="G11" s="5"/>
      <c r="H11" s="5"/>
      <c r="I11" s="5"/>
      <c r="J11" s="5"/>
      <c r="K11" s="5"/>
      <c r="L11" s="10"/>
    </row>
    <row r="12" spans="2:12" x14ac:dyDescent="0.25">
      <c r="B12" s="9" t="s">
        <v>95</v>
      </c>
      <c r="C12" s="5"/>
      <c r="D12" s="5"/>
      <c r="E12" s="5"/>
      <c r="F12" s="5"/>
      <c r="G12" s="5"/>
      <c r="H12" s="5"/>
      <c r="I12" s="5"/>
      <c r="J12" s="5"/>
      <c r="K12" s="5"/>
      <c r="L12" s="10"/>
    </row>
    <row r="13" spans="2:12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10"/>
    </row>
    <row r="14" spans="2:12" x14ac:dyDescent="0.25">
      <c r="B14" s="11" t="s">
        <v>96</v>
      </c>
      <c r="C14" s="5"/>
      <c r="D14" s="5"/>
      <c r="E14" s="5"/>
      <c r="F14" s="5"/>
      <c r="G14" s="5"/>
      <c r="H14" s="5"/>
      <c r="I14" s="5"/>
      <c r="J14" s="5"/>
      <c r="K14" s="5"/>
      <c r="L14" s="10"/>
    </row>
    <row r="15" spans="2:12" x14ac:dyDescent="0.25">
      <c r="B15" s="9" t="s">
        <v>92</v>
      </c>
      <c r="C15" s="5"/>
      <c r="D15" s="5"/>
      <c r="E15" s="5"/>
      <c r="F15" s="5"/>
      <c r="G15" s="5"/>
      <c r="H15" s="5"/>
      <c r="I15" s="5"/>
      <c r="J15" s="5"/>
      <c r="K15" s="5"/>
      <c r="L15" s="10"/>
    </row>
    <row r="16" spans="2:12" x14ac:dyDescent="0.25">
      <c r="B16" s="9" t="s">
        <v>151</v>
      </c>
      <c r="C16" s="5"/>
      <c r="D16" s="5"/>
      <c r="E16" s="5"/>
      <c r="F16" s="5"/>
      <c r="G16" s="5"/>
      <c r="H16" s="5"/>
      <c r="I16" s="5"/>
      <c r="J16" s="5"/>
      <c r="K16" s="5"/>
      <c r="L16" s="10"/>
    </row>
    <row r="17" spans="2:12" x14ac:dyDescent="0.25">
      <c r="B17" s="9" t="s">
        <v>97</v>
      </c>
      <c r="C17" s="5"/>
      <c r="D17" s="5"/>
      <c r="E17" s="5"/>
      <c r="F17" s="5"/>
      <c r="G17" s="5"/>
      <c r="H17" s="5"/>
      <c r="I17" s="5"/>
      <c r="J17" s="5"/>
      <c r="K17" s="5"/>
      <c r="L17" s="10"/>
    </row>
    <row r="18" spans="2:12" x14ac:dyDescent="0.25">
      <c r="B18" s="9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spans="2:12" x14ac:dyDescent="0.25">
      <c r="B19" s="11" t="s">
        <v>148</v>
      </c>
      <c r="C19" s="5"/>
      <c r="D19" s="5"/>
      <c r="E19" s="5"/>
      <c r="F19" s="5"/>
      <c r="G19" s="5"/>
      <c r="H19" s="5"/>
      <c r="I19" s="5"/>
      <c r="J19" s="5"/>
      <c r="K19" s="5"/>
      <c r="L19" s="10"/>
    </row>
    <row r="20" spans="2:12" x14ac:dyDescent="0.25">
      <c r="B20" s="9" t="s">
        <v>92</v>
      </c>
      <c r="C20" s="5"/>
      <c r="D20" s="5"/>
      <c r="E20" s="5"/>
      <c r="F20" s="5"/>
      <c r="G20" s="5"/>
      <c r="H20" s="5"/>
      <c r="I20" s="5"/>
      <c r="J20" s="5"/>
      <c r="K20" s="5"/>
      <c r="L20" s="10"/>
    </row>
    <row r="21" spans="2:12" x14ac:dyDescent="0.25">
      <c r="B21" s="9" t="s">
        <v>98</v>
      </c>
      <c r="C21" s="5"/>
      <c r="D21" s="5"/>
      <c r="E21" s="5"/>
      <c r="F21" s="5"/>
      <c r="G21" s="5"/>
      <c r="H21" s="5"/>
      <c r="I21" s="5"/>
      <c r="J21" s="5"/>
      <c r="K21" s="5"/>
      <c r="L21" s="10"/>
    </row>
    <row r="22" spans="2:12" x14ac:dyDescent="0.25">
      <c r="B22" s="9" t="s">
        <v>99</v>
      </c>
      <c r="C22" s="5"/>
      <c r="D22" s="5"/>
      <c r="E22" s="5"/>
      <c r="F22" s="5"/>
      <c r="G22" s="5"/>
      <c r="H22" s="5"/>
      <c r="I22" s="5"/>
      <c r="J22" s="5"/>
      <c r="K22" s="5"/>
      <c r="L22" s="10"/>
    </row>
    <row r="23" spans="2:12" x14ac:dyDescent="0.25">
      <c r="B23" s="9" t="s">
        <v>152</v>
      </c>
      <c r="C23" s="5"/>
      <c r="D23" s="5"/>
      <c r="E23" s="5"/>
      <c r="F23" s="5"/>
      <c r="G23" s="5"/>
      <c r="H23" s="5"/>
      <c r="I23" s="5"/>
      <c r="J23" s="5"/>
      <c r="K23" s="5"/>
      <c r="L23" s="10"/>
    </row>
    <row r="24" spans="2:12" x14ac:dyDescent="0.25">
      <c r="B24" s="9"/>
      <c r="C24" s="5"/>
      <c r="D24" s="5"/>
      <c r="E24" s="5"/>
      <c r="F24" s="5"/>
      <c r="G24" s="5"/>
      <c r="H24" s="5"/>
      <c r="I24" s="5"/>
      <c r="J24" s="5"/>
      <c r="K24" s="5"/>
      <c r="L24" s="10"/>
    </row>
    <row r="25" spans="2:12" s="4" customFormat="1" x14ac:dyDescent="0.25">
      <c r="B25" s="11" t="s">
        <v>100</v>
      </c>
      <c r="C25" s="5"/>
      <c r="D25" s="5"/>
      <c r="E25" s="5"/>
      <c r="F25" s="5"/>
      <c r="G25" s="5"/>
      <c r="H25" s="5"/>
      <c r="I25" s="5"/>
      <c r="J25" s="5"/>
      <c r="K25" s="5"/>
      <c r="L25" s="10"/>
    </row>
    <row r="26" spans="2:12" x14ac:dyDescent="0.25">
      <c r="B26" s="9" t="s">
        <v>92</v>
      </c>
      <c r="C26" s="5"/>
      <c r="D26" s="5"/>
      <c r="E26" s="5"/>
      <c r="F26" s="5"/>
      <c r="G26" s="5"/>
      <c r="H26" s="5"/>
      <c r="I26" s="5"/>
      <c r="J26" s="5"/>
      <c r="K26" s="5"/>
      <c r="L26" s="10"/>
    </row>
    <row r="27" spans="2:12" x14ac:dyDescent="0.25">
      <c r="B27" s="9" t="s">
        <v>101</v>
      </c>
      <c r="C27" s="5"/>
      <c r="D27" s="5"/>
      <c r="E27" s="5"/>
      <c r="F27" s="5"/>
      <c r="G27" s="5"/>
      <c r="H27" s="5"/>
      <c r="I27" s="5"/>
      <c r="J27" s="5"/>
      <c r="K27" s="5"/>
      <c r="L27" s="10"/>
    </row>
    <row r="28" spans="2:12" x14ac:dyDescent="0.25">
      <c r="B28" s="9" t="s">
        <v>102</v>
      </c>
      <c r="C28" s="5"/>
      <c r="D28" s="5"/>
      <c r="E28" s="5"/>
      <c r="F28" s="5"/>
      <c r="G28" s="5"/>
      <c r="H28" s="5"/>
      <c r="I28" s="5"/>
      <c r="J28" s="5"/>
      <c r="K28" s="5"/>
      <c r="L28" s="10"/>
    </row>
    <row r="29" spans="2:12" x14ac:dyDescent="0.25">
      <c r="B29" s="9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spans="2:12" ht="15.75" thickBot="1" x14ac:dyDescent="0.3">
      <c r="B30" s="175" t="s">
        <v>153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7"/>
    </row>
  </sheetData>
  <mergeCells count="1">
    <mergeCell ref="B30:L30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FA32-9D36-492F-8279-E2DFD8F0D442}">
  <sheetPr>
    <tabColor theme="5" tint="0.59999389629810485"/>
    <pageSetUpPr fitToPage="1"/>
  </sheetPr>
  <dimension ref="B1:I63"/>
  <sheetViews>
    <sheetView showGridLines="0" zoomScaleNormal="100" workbookViewId="0"/>
  </sheetViews>
  <sheetFormatPr defaultRowHeight="15" x14ac:dyDescent="0.25"/>
  <cols>
    <col min="1" max="1" width="2.140625" customWidth="1"/>
    <col min="2" max="2" width="52.5703125" customWidth="1"/>
    <col min="3" max="5" width="15.140625" customWidth="1"/>
    <col min="6" max="9" width="10.28515625" style="1" customWidth="1"/>
  </cols>
  <sheetData>
    <row r="1" spans="2:9" s="148" customFormat="1" ht="17.25" x14ac:dyDescent="0.3">
      <c r="B1" s="146" t="s">
        <v>111</v>
      </c>
      <c r="C1" s="146"/>
      <c r="D1" s="147"/>
      <c r="F1" s="15"/>
      <c r="G1" s="15"/>
      <c r="H1" s="15"/>
      <c r="I1" s="15"/>
    </row>
    <row r="2" spans="2:9" s="148" customFormat="1" ht="15.75" thickBot="1" x14ac:dyDescent="0.3">
      <c r="F2" s="15"/>
      <c r="G2" s="149"/>
      <c r="H2" s="149"/>
      <c r="I2" s="149"/>
    </row>
    <row r="3" spans="2:9" s="148" customFormat="1" ht="48.75" customHeight="1" thickBot="1" x14ac:dyDescent="0.3">
      <c r="B3" s="170" t="s">
        <v>163</v>
      </c>
      <c r="C3" s="174"/>
      <c r="D3" s="171"/>
      <c r="E3" s="172"/>
      <c r="F3" s="15"/>
      <c r="G3" s="15"/>
      <c r="H3" s="15"/>
      <c r="I3" s="15"/>
    </row>
    <row r="4" spans="2:9" s="148" customFormat="1" x14ac:dyDescent="0.25">
      <c r="B4" s="44" t="s">
        <v>8</v>
      </c>
      <c r="C4" s="69" t="s">
        <v>9</v>
      </c>
      <c r="D4" s="18"/>
      <c r="E4" s="150"/>
      <c r="F4" s="15"/>
      <c r="G4" s="15"/>
      <c r="H4" s="15"/>
      <c r="I4" s="15"/>
    </row>
    <row r="5" spans="2:9" s="148" customFormat="1" x14ac:dyDescent="0.25">
      <c r="B5" s="16" t="s">
        <v>11</v>
      </c>
      <c r="C5" s="69">
        <v>55</v>
      </c>
      <c r="D5" s="18"/>
      <c r="E5" s="150"/>
      <c r="F5" s="15"/>
      <c r="G5" s="15"/>
      <c r="H5" s="15"/>
      <c r="I5" s="15"/>
    </row>
    <row r="6" spans="2:9" s="148" customFormat="1" x14ac:dyDescent="0.25">
      <c r="B6" s="16" t="s">
        <v>94</v>
      </c>
      <c r="C6" s="69">
        <v>2017</v>
      </c>
      <c r="D6" s="18"/>
      <c r="E6" s="150"/>
      <c r="F6" s="15"/>
      <c r="G6" s="15"/>
      <c r="H6" s="15"/>
      <c r="I6" s="15"/>
    </row>
    <row r="7" spans="2:9" s="148" customFormat="1" ht="15.75" thickBot="1" x14ac:dyDescent="0.3">
      <c r="B7" s="151"/>
      <c r="C7" s="152"/>
      <c r="D7" s="152"/>
      <c r="E7" s="153"/>
      <c r="F7" s="15"/>
      <c r="G7" s="15"/>
      <c r="H7" s="15"/>
      <c r="I7" s="15"/>
    </row>
    <row r="8" spans="2:9" s="148" customFormat="1" x14ac:dyDescent="0.25">
      <c r="B8" s="154" t="str">
        <f>C4</f>
        <v>Hotel ABC</v>
      </c>
      <c r="C8" s="155">
        <f>C6</f>
        <v>2017</v>
      </c>
      <c r="D8" s="155">
        <f>C8+1</f>
        <v>2018</v>
      </c>
      <c r="E8" s="156">
        <f>D8+1</f>
        <v>2019</v>
      </c>
      <c r="F8" s="15"/>
      <c r="G8" s="15"/>
      <c r="H8" s="15"/>
      <c r="I8" s="15"/>
    </row>
    <row r="9" spans="2:9" s="148" customFormat="1" x14ac:dyDescent="0.25">
      <c r="B9" s="81" t="s">
        <v>58</v>
      </c>
      <c r="C9" s="157">
        <v>0.78</v>
      </c>
      <c r="D9" s="157">
        <v>0.72</v>
      </c>
      <c r="E9" s="158">
        <v>0.73</v>
      </c>
      <c r="F9" s="15"/>
      <c r="G9" s="15"/>
      <c r="H9" s="15"/>
      <c r="I9" s="15"/>
    </row>
    <row r="10" spans="2:9" s="148" customFormat="1" x14ac:dyDescent="0.25">
      <c r="B10" s="81" t="s">
        <v>59</v>
      </c>
      <c r="C10" s="159">
        <v>125.25</v>
      </c>
      <c r="D10" s="159">
        <v>136.36000000000001</v>
      </c>
      <c r="E10" s="160">
        <v>135.5</v>
      </c>
      <c r="F10" s="15"/>
      <c r="G10" s="15"/>
      <c r="H10" s="15"/>
      <c r="I10" s="15"/>
    </row>
    <row r="11" spans="2:9" s="148" customFormat="1" x14ac:dyDescent="0.25">
      <c r="B11" s="81" t="s">
        <v>16</v>
      </c>
      <c r="C11" s="161">
        <f>C10*C9</f>
        <v>97.695000000000007</v>
      </c>
      <c r="D11" s="161">
        <f t="shared" ref="D11:E11" si="0">D10*D9</f>
        <v>98.179200000000009</v>
      </c>
      <c r="E11" s="162">
        <f t="shared" si="0"/>
        <v>98.914999999999992</v>
      </c>
      <c r="F11" s="15"/>
      <c r="G11" s="15"/>
      <c r="H11" s="15"/>
      <c r="I11" s="15"/>
    </row>
    <row r="12" spans="2:9" s="148" customFormat="1" x14ac:dyDescent="0.25">
      <c r="B12" s="81"/>
      <c r="C12" s="79"/>
      <c r="D12" s="79"/>
      <c r="E12" s="163"/>
      <c r="F12" s="15"/>
      <c r="G12" s="15"/>
      <c r="H12" s="15"/>
      <c r="I12" s="15"/>
    </row>
    <row r="13" spans="2:9" s="148" customFormat="1" x14ac:dyDescent="0.25">
      <c r="B13" s="96" t="s">
        <v>0</v>
      </c>
      <c r="C13" s="94"/>
      <c r="D13" s="94"/>
      <c r="E13" s="164"/>
      <c r="F13" s="15"/>
      <c r="G13" s="15"/>
      <c r="H13" s="15"/>
      <c r="I13" s="15"/>
    </row>
    <row r="14" spans="2:9" s="148" customFormat="1" x14ac:dyDescent="0.25">
      <c r="B14" s="100" t="s">
        <v>17</v>
      </c>
      <c r="C14" s="32">
        <f>$C$5*365*C9*C10</f>
        <v>1961227.125</v>
      </c>
      <c r="D14" s="32">
        <f t="shared" ref="D14:E14" si="1">$C$5*365*D9*D10</f>
        <v>1970947.4400000002</v>
      </c>
      <c r="E14" s="33">
        <f t="shared" si="1"/>
        <v>1985718.625</v>
      </c>
      <c r="F14" s="15"/>
      <c r="G14" s="15"/>
      <c r="H14" s="15"/>
      <c r="I14" s="15"/>
    </row>
    <row r="15" spans="2:9" s="148" customFormat="1" x14ac:dyDescent="0.25">
      <c r="B15" s="100" t="s">
        <v>18</v>
      </c>
      <c r="C15" s="32">
        <v>400000</v>
      </c>
      <c r="D15" s="32">
        <v>410000</v>
      </c>
      <c r="E15" s="33">
        <v>420000</v>
      </c>
      <c r="F15" s="15"/>
      <c r="G15" s="30"/>
      <c r="H15" s="15"/>
      <c r="I15" s="15"/>
    </row>
    <row r="16" spans="2:9" s="148" customFormat="1" x14ac:dyDescent="0.25">
      <c r="B16" s="100" t="s">
        <v>19</v>
      </c>
      <c r="C16" s="32">
        <v>200000</v>
      </c>
      <c r="D16" s="32">
        <v>210000</v>
      </c>
      <c r="E16" s="33">
        <v>220000</v>
      </c>
      <c r="F16" s="15"/>
      <c r="G16" s="15"/>
      <c r="H16" s="15"/>
      <c r="I16" s="15"/>
    </row>
    <row r="17" spans="2:9" s="148" customFormat="1" x14ac:dyDescent="0.25">
      <c r="B17" s="100" t="s">
        <v>112</v>
      </c>
      <c r="C17" s="32">
        <v>150000</v>
      </c>
      <c r="D17" s="32">
        <v>160000</v>
      </c>
      <c r="E17" s="33">
        <v>170000</v>
      </c>
      <c r="F17" s="15"/>
      <c r="G17" s="15"/>
      <c r="H17" s="15"/>
      <c r="I17" s="15"/>
    </row>
    <row r="18" spans="2:9" s="148" customFormat="1" x14ac:dyDescent="0.25">
      <c r="B18" s="100" t="s">
        <v>20</v>
      </c>
      <c r="C18" s="32">
        <v>50000</v>
      </c>
      <c r="D18" s="32">
        <v>55000</v>
      </c>
      <c r="E18" s="33">
        <v>60000</v>
      </c>
      <c r="F18" s="15"/>
      <c r="G18" s="15"/>
      <c r="H18" s="15"/>
      <c r="I18" s="15"/>
    </row>
    <row r="19" spans="2:9" s="148" customFormat="1" x14ac:dyDescent="0.25">
      <c r="B19" s="105" t="s">
        <v>1</v>
      </c>
      <c r="C19" s="104">
        <f t="shared" ref="C19:E19" si="2">SUM(C14:C18)</f>
        <v>2761227.125</v>
      </c>
      <c r="D19" s="104">
        <f t="shared" si="2"/>
        <v>2805947.4400000004</v>
      </c>
      <c r="E19" s="106">
        <f t="shared" si="2"/>
        <v>2855718.625</v>
      </c>
      <c r="F19" s="15"/>
      <c r="G19" s="15"/>
      <c r="H19" s="15"/>
      <c r="I19" s="15"/>
    </row>
    <row r="20" spans="2:9" s="148" customFormat="1" x14ac:dyDescent="0.25">
      <c r="B20" s="108"/>
      <c r="C20" s="109"/>
      <c r="D20" s="109"/>
      <c r="E20" s="165"/>
      <c r="F20" s="15"/>
      <c r="G20" s="15"/>
      <c r="H20" s="15"/>
      <c r="I20" s="15"/>
    </row>
    <row r="21" spans="2:9" s="148" customFormat="1" x14ac:dyDescent="0.25">
      <c r="B21" s="111" t="s">
        <v>21</v>
      </c>
      <c r="C21" s="109"/>
      <c r="D21" s="109"/>
      <c r="E21" s="165"/>
      <c r="F21" s="15"/>
      <c r="G21" s="15"/>
      <c r="H21" s="15"/>
      <c r="I21" s="15"/>
    </row>
    <row r="22" spans="2:9" s="148" customFormat="1" x14ac:dyDescent="0.25">
      <c r="B22" s="108" t="s">
        <v>22</v>
      </c>
      <c r="C22" s="32">
        <f>C14*0.21</f>
        <v>411857.69624999998</v>
      </c>
      <c r="D22" s="32">
        <f t="shared" ref="D22:E22" si="3">D14*0.21</f>
        <v>413898.96240000002</v>
      </c>
      <c r="E22" s="33">
        <f t="shared" si="3"/>
        <v>417000.91125</v>
      </c>
      <c r="F22" s="15"/>
      <c r="G22" s="15"/>
      <c r="H22" s="15"/>
      <c r="I22" s="15"/>
    </row>
    <row r="23" spans="2:9" s="148" customFormat="1" x14ac:dyDescent="0.25">
      <c r="B23" s="108" t="s">
        <v>23</v>
      </c>
      <c r="C23" s="32">
        <f>C14*0.1</f>
        <v>196122.71250000002</v>
      </c>
      <c r="D23" s="32">
        <f t="shared" ref="D23:E23" si="4">D14*0.1</f>
        <v>197094.74400000004</v>
      </c>
      <c r="E23" s="33">
        <f t="shared" si="4"/>
        <v>198571.86250000002</v>
      </c>
      <c r="F23" s="15"/>
      <c r="G23" s="15"/>
      <c r="H23" s="15"/>
      <c r="I23" s="15"/>
    </row>
    <row r="24" spans="2:9" s="148" customFormat="1" x14ac:dyDescent="0.25">
      <c r="B24" s="108" t="s">
        <v>24</v>
      </c>
      <c r="C24" s="32">
        <f>(C15+C16)*0.3</f>
        <v>180000</v>
      </c>
      <c r="D24" s="32">
        <f t="shared" ref="D24:E24" si="5">(D15+D16)*0.3</f>
        <v>186000</v>
      </c>
      <c r="E24" s="33">
        <f t="shared" si="5"/>
        <v>192000</v>
      </c>
      <c r="F24" s="15"/>
      <c r="G24" s="15"/>
      <c r="H24" s="15"/>
      <c r="I24" s="15"/>
    </row>
    <row r="25" spans="2:9" s="148" customFormat="1" x14ac:dyDescent="0.25">
      <c r="B25" s="108" t="s">
        <v>25</v>
      </c>
      <c r="C25" s="32">
        <f>(C15+C16)*0.31</f>
        <v>186000</v>
      </c>
      <c r="D25" s="32">
        <f t="shared" ref="D25:E25" si="6">(D15+D16)*0.31</f>
        <v>192200</v>
      </c>
      <c r="E25" s="33">
        <f t="shared" si="6"/>
        <v>198400</v>
      </c>
      <c r="F25" s="15"/>
      <c r="G25" s="15"/>
      <c r="H25" s="15"/>
      <c r="I25" s="15"/>
    </row>
    <row r="26" spans="2:9" s="148" customFormat="1" x14ac:dyDescent="0.25">
      <c r="B26" s="114" t="s">
        <v>26</v>
      </c>
      <c r="C26" s="32">
        <f>(C16+C15)*0.05</f>
        <v>30000</v>
      </c>
      <c r="D26" s="32">
        <f t="shared" ref="D26:E26" si="7">(D16+D15)*0.05</f>
        <v>31000</v>
      </c>
      <c r="E26" s="33">
        <f t="shared" si="7"/>
        <v>32000</v>
      </c>
      <c r="F26" s="15"/>
      <c r="G26" s="15"/>
      <c r="H26" s="15"/>
      <c r="I26" s="15"/>
    </row>
    <row r="27" spans="2:9" s="148" customFormat="1" x14ac:dyDescent="0.25">
      <c r="B27" s="114" t="s">
        <v>114</v>
      </c>
      <c r="C27" s="32">
        <f>C17*0.19</f>
        <v>28500</v>
      </c>
      <c r="D27" s="32">
        <f t="shared" ref="D27:E27" si="8">D17*0.19</f>
        <v>30400</v>
      </c>
      <c r="E27" s="33">
        <f t="shared" si="8"/>
        <v>32300</v>
      </c>
      <c r="F27" s="15"/>
      <c r="G27" s="15"/>
      <c r="H27" s="15"/>
      <c r="I27" s="15"/>
    </row>
    <row r="28" spans="2:9" s="148" customFormat="1" x14ac:dyDescent="0.25">
      <c r="B28" s="114" t="s">
        <v>113</v>
      </c>
      <c r="C28" s="32">
        <f>C17*0.15</f>
        <v>22500</v>
      </c>
      <c r="D28" s="32">
        <f t="shared" ref="D28:E28" si="9">D17*0.15</f>
        <v>24000</v>
      </c>
      <c r="E28" s="33">
        <f t="shared" si="9"/>
        <v>25500</v>
      </c>
      <c r="F28" s="15"/>
      <c r="G28" s="15"/>
      <c r="H28" s="15"/>
      <c r="I28" s="15"/>
    </row>
    <row r="29" spans="2:9" s="148" customFormat="1" x14ac:dyDescent="0.25">
      <c r="B29" s="114" t="s">
        <v>115</v>
      </c>
      <c r="C29" s="32">
        <f>C17*0.25</f>
        <v>37500</v>
      </c>
      <c r="D29" s="32">
        <f>D17*0.25</f>
        <v>40000</v>
      </c>
      <c r="E29" s="33">
        <f>E17*0.25</f>
        <v>42500</v>
      </c>
      <c r="F29" s="15"/>
      <c r="G29" s="15"/>
      <c r="H29" s="15"/>
      <c r="I29" s="15"/>
    </row>
    <row r="30" spans="2:9" s="148" customFormat="1" x14ac:dyDescent="0.25">
      <c r="B30" s="116" t="s">
        <v>110</v>
      </c>
      <c r="C30" s="32">
        <f>C18*0.3</f>
        <v>15000</v>
      </c>
      <c r="D30" s="32">
        <f t="shared" ref="D30:E30" si="10">D18*0.3</f>
        <v>16500</v>
      </c>
      <c r="E30" s="33">
        <f t="shared" si="10"/>
        <v>18000</v>
      </c>
      <c r="F30" s="15"/>
      <c r="G30" s="15"/>
      <c r="H30" s="15"/>
      <c r="I30" s="15"/>
    </row>
    <row r="31" spans="2:9" s="148" customFormat="1" x14ac:dyDescent="0.25">
      <c r="B31" s="105" t="s">
        <v>27</v>
      </c>
      <c r="C31" s="104">
        <f>SUM(C22:C30)</f>
        <v>1107480.4087499999</v>
      </c>
      <c r="D31" s="104">
        <f t="shared" ref="D31:E31" si="11">SUM(D22:D30)</f>
        <v>1131093.7064</v>
      </c>
      <c r="E31" s="106">
        <f t="shared" si="11"/>
        <v>1156272.7737500002</v>
      </c>
      <c r="F31" s="15"/>
      <c r="G31" s="30"/>
      <c r="H31" s="15"/>
      <c r="I31" s="15"/>
    </row>
    <row r="32" spans="2:9" s="148" customFormat="1" x14ac:dyDescent="0.25">
      <c r="B32" s="108"/>
      <c r="C32" s="107"/>
      <c r="D32" s="107"/>
      <c r="E32" s="166"/>
      <c r="F32" s="15"/>
      <c r="G32" s="15"/>
      <c r="H32" s="15"/>
      <c r="I32" s="15"/>
    </row>
    <row r="33" spans="2:9" s="148" customFormat="1" x14ac:dyDescent="0.25">
      <c r="B33" s="111" t="s">
        <v>28</v>
      </c>
      <c r="C33" s="110"/>
      <c r="D33" s="110"/>
      <c r="E33" s="167"/>
      <c r="F33" s="15"/>
      <c r="G33" s="15"/>
      <c r="H33" s="15"/>
      <c r="I33" s="15"/>
    </row>
    <row r="34" spans="2:9" s="148" customFormat="1" x14ac:dyDescent="0.25">
      <c r="B34" s="108" t="s">
        <v>55</v>
      </c>
      <c r="C34" s="32">
        <f>C19*0.15</f>
        <v>414184.06874999998</v>
      </c>
      <c r="D34" s="32">
        <f t="shared" ref="D34:E34" si="12">D19*0.15</f>
        <v>420892.11600000004</v>
      </c>
      <c r="E34" s="33">
        <f t="shared" si="12"/>
        <v>428357.79375000001</v>
      </c>
      <c r="F34" s="15"/>
      <c r="G34" s="15"/>
      <c r="H34" s="15"/>
      <c r="I34" s="15"/>
    </row>
    <row r="35" spans="2:9" s="148" customFormat="1" x14ac:dyDescent="0.25">
      <c r="B35" s="114" t="s">
        <v>2</v>
      </c>
      <c r="C35" s="32">
        <f>C19*0.05</f>
        <v>138061.35625000001</v>
      </c>
      <c r="D35" s="32">
        <f t="shared" ref="D35:E35" si="13">D19*0.05</f>
        <v>140297.37200000003</v>
      </c>
      <c r="E35" s="33">
        <f t="shared" si="13"/>
        <v>142785.93124999999</v>
      </c>
      <c r="F35" s="15"/>
      <c r="G35" s="15"/>
      <c r="H35" s="15"/>
      <c r="I35" s="15"/>
    </row>
    <row r="36" spans="2:9" s="148" customFormat="1" x14ac:dyDescent="0.25">
      <c r="B36" s="16" t="s">
        <v>3</v>
      </c>
      <c r="C36" s="32">
        <f>C19*0.03</f>
        <v>82836.813750000001</v>
      </c>
      <c r="D36" s="32">
        <f t="shared" ref="D36:E36" si="14">D19*0.03</f>
        <v>84178.423200000005</v>
      </c>
      <c r="E36" s="33">
        <f t="shared" si="14"/>
        <v>85671.558749999997</v>
      </c>
      <c r="F36" s="15"/>
      <c r="G36" s="15"/>
      <c r="H36" s="15"/>
      <c r="I36" s="15"/>
    </row>
    <row r="37" spans="2:9" s="148" customFormat="1" x14ac:dyDescent="0.25">
      <c r="B37" s="16" t="s">
        <v>4</v>
      </c>
      <c r="C37" s="32">
        <f>C19*0.04</f>
        <v>110449.08500000001</v>
      </c>
      <c r="D37" s="32">
        <f t="shared" ref="D37:E37" si="15">D19*0.04</f>
        <v>112237.89760000003</v>
      </c>
      <c r="E37" s="33">
        <f t="shared" si="15"/>
        <v>114228.745</v>
      </c>
      <c r="F37" s="15"/>
      <c r="G37" s="15"/>
      <c r="H37" s="15"/>
      <c r="I37" s="15"/>
    </row>
    <row r="38" spans="2:9" s="148" customFormat="1" x14ac:dyDescent="0.25">
      <c r="B38" s="16" t="s">
        <v>5</v>
      </c>
      <c r="C38" s="32">
        <f>C19*0.05</f>
        <v>138061.35625000001</v>
      </c>
      <c r="D38" s="32">
        <f t="shared" ref="D38:E38" si="16">D19*0.05</f>
        <v>140297.37200000003</v>
      </c>
      <c r="E38" s="33">
        <f t="shared" si="16"/>
        <v>142785.93124999999</v>
      </c>
      <c r="F38" s="15"/>
      <c r="G38" s="15"/>
      <c r="H38" s="15"/>
      <c r="I38" s="15"/>
    </row>
    <row r="39" spans="2:9" s="148" customFormat="1" x14ac:dyDescent="0.25">
      <c r="B39" s="105" t="s">
        <v>29</v>
      </c>
      <c r="C39" s="104">
        <f t="shared" ref="C39:E39" si="17">SUM(C34:C38)</f>
        <v>883592.67999999993</v>
      </c>
      <c r="D39" s="104">
        <f t="shared" si="17"/>
        <v>897903.18080000021</v>
      </c>
      <c r="E39" s="106">
        <f t="shared" si="17"/>
        <v>913829.96</v>
      </c>
      <c r="F39" s="15"/>
      <c r="G39" s="15"/>
      <c r="H39" s="15"/>
      <c r="I39" s="15"/>
    </row>
    <row r="40" spans="2:9" s="148" customFormat="1" x14ac:dyDescent="0.25">
      <c r="B40" s="16"/>
      <c r="C40" s="18"/>
      <c r="D40" s="18"/>
      <c r="E40" s="19"/>
      <c r="F40" s="15"/>
      <c r="G40" s="15"/>
      <c r="H40" s="15"/>
      <c r="I40" s="15"/>
    </row>
    <row r="41" spans="2:9" s="148" customFormat="1" x14ac:dyDescent="0.25">
      <c r="B41" s="105" t="s">
        <v>31</v>
      </c>
      <c r="C41" s="104">
        <f>C19-C31-C39</f>
        <v>770154.03625000012</v>
      </c>
      <c r="D41" s="104">
        <f t="shared" ref="D41:E41" si="18">D19-D31-D39</f>
        <v>776950.55280000018</v>
      </c>
      <c r="E41" s="106">
        <f t="shared" si="18"/>
        <v>785615.89124999987</v>
      </c>
      <c r="F41" s="15"/>
      <c r="G41" s="15"/>
      <c r="H41" s="15"/>
      <c r="I41" s="15"/>
    </row>
    <row r="42" spans="2:9" s="148" customFormat="1" x14ac:dyDescent="0.25">
      <c r="B42" s="16"/>
      <c r="C42" s="18"/>
      <c r="D42" s="18"/>
      <c r="E42" s="19"/>
      <c r="F42" s="15"/>
      <c r="G42" s="15"/>
      <c r="H42" s="15"/>
      <c r="I42" s="15"/>
    </row>
    <row r="43" spans="2:9" s="148" customFormat="1" x14ac:dyDescent="0.25">
      <c r="B43" s="27" t="s">
        <v>30</v>
      </c>
      <c r="C43" s="18"/>
      <c r="D43" s="18"/>
      <c r="E43" s="19"/>
      <c r="F43" s="15"/>
      <c r="G43" s="15"/>
      <c r="H43" s="15"/>
      <c r="I43" s="15"/>
    </row>
    <row r="44" spans="2:9" s="148" customFormat="1" x14ac:dyDescent="0.25">
      <c r="B44" s="16" t="s">
        <v>33</v>
      </c>
      <c r="C44" s="32">
        <v>0</v>
      </c>
      <c r="D44" s="32">
        <v>0</v>
      </c>
      <c r="E44" s="33">
        <v>0</v>
      </c>
      <c r="F44" s="15"/>
      <c r="G44" s="15"/>
      <c r="H44" s="15"/>
      <c r="I44" s="15"/>
    </row>
    <row r="45" spans="2:9" s="148" customFormat="1" x14ac:dyDescent="0.25">
      <c r="B45" s="16" t="s">
        <v>34</v>
      </c>
      <c r="C45" s="32">
        <v>35000</v>
      </c>
      <c r="D45" s="32">
        <v>35000</v>
      </c>
      <c r="E45" s="33">
        <v>35000</v>
      </c>
      <c r="F45" s="15"/>
      <c r="G45" s="15"/>
      <c r="H45" s="15"/>
      <c r="I45" s="15"/>
    </row>
    <row r="46" spans="2:9" s="148" customFormat="1" x14ac:dyDescent="0.25">
      <c r="B46" s="16" t="s">
        <v>35</v>
      </c>
      <c r="C46" s="32">
        <v>40000</v>
      </c>
      <c r="D46" s="32">
        <v>40000</v>
      </c>
      <c r="E46" s="33">
        <v>40000</v>
      </c>
      <c r="F46" s="15"/>
      <c r="G46" s="15"/>
      <c r="H46" s="15"/>
      <c r="I46" s="15"/>
    </row>
    <row r="47" spans="2:9" s="148" customFormat="1" x14ac:dyDescent="0.25">
      <c r="B47" s="105" t="s">
        <v>36</v>
      </c>
      <c r="C47" s="104">
        <f t="shared" ref="C47:E47" si="19">SUM(C44:C46)</f>
        <v>75000</v>
      </c>
      <c r="D47" s="104">
        <f t="shared" si="19"/>
        <v>75000</v>
      </c>
      <c r="E47" s="106">
        <f t="shared" si="19"/>
        <v>75000</v>
      </c>
      <c r="F47" s="15"/>
      <c r="G47" s="15"/>
      <c r="H47" s="15"/>
      <c r="I47" s="15"/>
    </row>
    <row r="48" spans="2:9" s="148" customFormat="1" x14ac:dyDescent="0.25">
      <c r="B48" s="108"/>
      <c r="C48" s="107"/>
      <c r="D48" s="107"/>
      <c r="E48" s="166"/>
      <c r="F48" s="15"/>
      <c r="G48" s="15"/>
      <c r="H48" s="15"/>
      <c r="I48" s="15"/>
    </row>
    <row r="49" spans="2:9" s="148" customFormat="1" x14ac:dyDescent="0.25">
      <c r="B49" s="105" t="s">
        <v>6</v>
      </c>
      <c r="C49" s="104">
        <f t="shared" ref="C49:E49" si="20">C41-C47</f>
        <v>695154.03625000012</v>
      </c>
      <c r="D49" s="104">
        <f t="shared" si="20"/>
        <v>701950.55280000018</v>
      </c>
      <c r="E49" s="106">
        <f t="shared" si="20"/>
        <v>710615.89124999987</v>
      </c>
      <c r="F49" s="15"/>
      <c r="G49" s="15"/>
      <c r="H49" s="15"/>
      <c r="I49" s="15"/>
    </row>
    <row r="50" spans="2:9" s="148" customFormat="1" x14ac:dyDescent="0.25">
      <c r="B50" s="111" t="s">
        <v>7</v>
      </c>
      <c r="C50" s="168">
        <f>C49/C19</f>
        <v>0.25175547131060438</v>
      </c>
      <c r="D50" s="168">
        <f t="shared" ref="D50:E50" si="21">D49/D19</f>
        <v>0.25016525355870534</v>
      </c>
      <c r="E50" s="169">
        <f t="shared" si="21"/>
        <v>0.24883960381425879</v>
      </c>
      <c r="F50" s="15"/>
      <c r="G50" s="15"/>
      <c r="H50" s="15"/>
      <c r="I50" s="15"/>
    </row>
    <row r="51" spans="2:9" s="148" customFormat="1" x14ac:dyDescent="0.25">
      <c r="B51" s="16"/>
      <c r="C51" s="18"/>
      <c r="D51" s="18"/>
      <c r="E51" s="19"/>
      <c r="F51" s="15"/>
      <c r="G51" s="15"/>
      <c r="H51" s="15"/>
      <c r="I51" s="15"/>
    </row>
    <row r="52" spans="2:9" s="148" customFormat="1" x14ac:dyDescent="0.25">
      <c r="B52" s="48" t="s">
        <v>53</v>
      </c>
      <c r="C52" s="25">
        <f t="shared" ref="C52:E55" si="22">C8</f>
        <v>2017</v>
      </c>
      <c r="D52" s="25">
        <f t="shared" si="22"/>
        <v>2018</v>
      </c>
      <c r="E52" s="26">
        <f t="shared" si="22"/>
        <v>2019</v>
      </c>
      <c r="F52" s="15"/>
      <c r="G52" s="15"/>
      <c r="H52" s="15"/>
      <c r="I52" s="15"/>
    </row>
    <row r="53" spans="2:9" s="148" customFormat="1" x14ac:dyDescent="0.25">
      <c r="B53" s="16" t="s">
        <v>58</v>
      </c>
      <c r="C53" s="129">
        <f t="shared" si="22"/>
        <v>0.78</v>
      </c>
      <c r="D53" s="129">
        <f t="shared" si="22"/>
        <v>0.72</v>
      </c>
      <c r="E53" s="130">
        <f t="shared" si="22"/>
        <v>0.73</v>
      </c>
      <c r="F53" s="15"/>
      <c r="G53" s="15"/>
      <c r="H53" s="15"/>
      <c r="I53" s="15"/>
    </row>
    <row r="54" spans="2:9" s="148" customFormat="1" x14ac:dyDescent="0.25">
      <c r="B54" s="16" t="s">
        <v>59</v>
      </c>
      <c r="C54" s="132">
        <f t="shared" si="22"/>
        <v>125.25</v>
      </c>
      <c r="D54" s="132">
        <f t="shared" si="22"/>
        <v>136.36000000000001</v>
      </c>
      <c r="E54" s="133">
        <f t="shared" si="22"/>
        <v>135.5</v>
      </c>
      <c r="F54" s="15"/>
      <c r="G54" s="15"/>
      <c r="H54" s="15"/>
      <c r="I54" s="15"/>
    </row>
    <row r="55" spans="2:9" s="148" customFormat="1" x14ac:dyDescent="0.25">
      <c r="B55" s="16" t="s">
        <v>16</v>
      </c>
      <c r="C55" s="132">
        <f t="shared" si="22"/>
        <v>97.695000000000007</v>
      </c>
      <c r="D55" s="132">
        <f t="shared" si="22"/>
        <v>98.179200000000009</v>
      </c>
      <c r="E55" s="133">
        <f t="shared" si="22"/>
        <v>98.914999999999992</v>
      </c>
      <c r="F55" s="15"/>
      <c r="G55" s="15"/>
      <c r="H55" s="15"/>
      <c r="I55" s="15"/>
    </row>
    <row r="56" spans="2:9" s="148" customFormat="1" x14ac:dyDescent="0.25">
      <c r="B56" s="16" t="s">
        <v>60</v>
      </c>
      <c r="C56" s="132">
        <f>C19/($C$5*365)</f>
        <v>137.54556039850561</v>
      </c>
      <c r="D56" s="132">
        <f t="shared" ref="D56:E56" si="23">D19/($C$5*365)</f>
        <v>139.77322241594024</v>
      </c>
      <c r="E56" s="133">
        <f t="shared" si="23"/>
        <v>142.25248443337483</v>
      </c>
      <c r="F56" s="15"/>
      <c r="G56" s="15"/>
      <c r="H56" s="15"/>
      <c r="I56" s="15"/>
    </row>
    <row r="57" spans="2:9" s="148" customFormat="1" x14ac:dyDescent="0.25">
      <c r="B57" s="16" t="s">
        <v>54</v>
      </c>
      <c r="C57" s="39">
        <f>C22+C24+C34+C27</f>
        <v>1034541.765</v>
      </c>
      <c r="D57" s="39">
        <f t="shared" ref="D57:E57" si="24">D22+D24+D34+D27</f>
        <v>1051191.0784</v>
      </c>
      <c r="E57" s="40">
        <f t="shared" si="24"/>
        <v>1069658.7050000001</v>
      </c>
      <c r="F57" s="15"/>
      <c r="G57" s="15"/>
      <c r="H57" s="15"/>
      <c r="I57" s="15"/>
    </row>
    <row r="58" spans="2:9" s="148" customFormat="1" x14ac:dyDescent="0.25">
      <c r="B58" s="16" t="s">
        <v>56</v>
      </c>
      <c r="C58" s="135">
        <f t="shared" ref="C58" si="25">C57/C19</f>
        <v>0.37466739176698477</v>
      </c>
      <c r="D58" s="135">
        <f t="shared" ref="D58" si="26">D57/D19</f>
        <v>0.37462963967707102</v>
      </c>
      <c r="E58" s="136">
        <f t="shared" ref="E58" si="27">E57/E19</f>
        <v>0.37456726150672498</v>
      </c>
      <c r="F58" s="15"/>
      <c r="G58" s="15"/>
      <c r="H58" s="15"/>
      <c r="I58" s="15"/>
    </row>
    <row r="59" spans="2:9" s="148" customFormat="1" x14ac:dyDescent="0.25">
      <c r="B59" s="16" t="s">
        <v>57</v>
      </c>
      <c r="C59" s="135">
        <f t="shared" ref="C59:E59" si="28">((C15+C16)-C25)/(C15+C16)</f>
        <v>0.69</v>
      </c>
      <c r="D59" s="135">
        <f t="shared" si="28"/>
        <v>0.69</v>
      </c>
      <c r="E59" s="136">
        <f t="shared" si="28"/>
        <v>0.69</v>
      </c>
      <c r="F59" s="15"/>
      <c r="G59" s="15"/>
      <c r="H59" s="15"/>
      <c r="I59" s="15"/>
    </row>
    <row r="60" spans="2:9" s="148" customFormat="1" x14ac:dyDescent="0.25">
      <c r="B60" s="16" t="s">
        <v>116</v>
      </c>
      <c r="C60" s="135">
        <f>(C19-C31)/C19</f>
        <v>0.59891730791613174</v>
      </c>
      <c r="D60" s="135">
        <f t="shared" ref="D60:E60" si="29">(D19-D31)/D19</f>
        <v>0.59689419328538817</v>
      </c>
      <c r="E60" s="136">
        <f t="shared" si="29"/>
        <v>0.59510269547301775</v>
      </c>
      <c r="F60" s="15"/>
      <c r="G60" s="15"/>
      <c r="H60" s="15"/>
      <c r="I60" s="15"/>
    </row>
    <row r="61" spans="2:9" s="148" customFormat="1" x14ac:dyDescent="0.25">
      <c r="B61" s="16" t="s">
        <v>32</v>
      </c>
      <c r="C61" s="135">
        <f>C41/C19</f>
        <v>0.27891730791613173</v>
      </c>
      <c r="D61" s="135">
        <f>D41/D19</f>
        <v>0.27689419328538817</v>
      </c>
      <c r="E61" s="136">
        <f>E41/E19</f>
        <v>0.27510269547301769</v>
      </c>
      <c r="F61" s="15"/>
      <c r="G61" s="15"/>
      <c r="H61" s="15"/>
      <c r="I61" s="15"/>
    </row>
    <row r="62" spans="2:9" s="148" customFormat="1" ht="15.75" thickBot="1" x14ac:dyDescent="0.3">
      <c r="B62" s="41" t="s">
        <v>61</v>
      </c>
      <c r="C62" s="137">
        <f>C49/C19</f>
        <v>0.25175547131060438</v>
      </c>
      <c r="D62" s="137">
        <f>D49/D19</f>
        <v>0.25016525355870534</v>
      </c>
      <c r="E62" s="138">
        <f>E49/E19</f>
        <v>0.24883960381425879</v>
      </c>
      <c r="F62" s="15"/>
      <c r="G62" s="15"/>
      <c r="H62" s="15"/>
      <c r="I62" s="15"/>
    </row>
    <row r="63" spans="2:9" s="148" customFormat="1" x14ac:dyDescent="0.25">
      <c r="F63" s="15"/>
      <c r="G63" s="15"/>
      <c r="H63" s="15"/>
      <c r="I63" s="15"/>
    </row>
  </sheetData>
  <sheetProtection selectLockedCells="1"/>
  <pageMargins left="0.7" right="0.7" top="0.75" bottom="0.75" header="0.3" footer="0.3"/>
  <pageSetup paperSize="9" scale="8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B01F-D0BE-4E1E-951C-9D32CB212CDA}">
  <sheetPr>
    <tabColor theme="5" tint="0.59999389629810485"/>
    <pageSetUpPr fitToPage="1"/>
  </sheetPr>
  <dimension ref="A1:S91"/>
  <sheetViews>
    <sheetView showGridLines="0" zoomScaleNormal="100" workbookViewId="0"/>
  </sheetViews>
  <sheetFormatPr defaultRowHeight="15" outlineLevelCol="1" x14ac:dyDescent="0.25"/>
  <cols>
    <col min="1" max="1" width="2.85546875" style="1" customWidth="1"/>
    <col min="2" max="2" width="30.28515625" style="1" customWidth="1"/>
    <col min="3" max="3" width="34.140625" style="1" bestFit="1" customWidth="1"/>
    <col min="4" max="4" width="11.140625" style="1" bestFit="1" customWidth="1"/>
    <col min="5" max="8" width="10.140625" style="1" bestFit="1" customWidth="1"/>
    <col min="9" max="9" width="4.7109375" style="1" customWidth="1"/>
    <col min="10" max="10" width="28.28515625" style="1" customWidth="1"/>
    <col min="11" max="13" width="11.5703125" style="1" customWidth="1" outlineLevel="1"/>
    <col min="14" max="14" width="2.85546875" style="1" customWidth="1" outlineLevel="1"/>
    <col min="15" max="18" width="10.140625" style="1" bestFit="1" customWidth="1"/>
    <col min="19" max="19" width="10.140625" style="1" customWidth="1"/>
    <col min="20" max="16384" width="9.140625" style="1"/>
  </cols>
  <sheetData>
    <row r="1" spans="1:19" s="15" customFormat="1" ht="17.25" x14ac:dyDescent="0.3">
      <c r="B1" s="181" t="s">
        <v>111</v>
      </c>
      <c r="C1" s="181"/>
    </row>
    <row r="2" spans="1:19" s="15" customFormat="1" ht="15.75" thickBot="1" x14ac:dyDescent="0.3">
      <c r="D2" s="68"/>
      <c r="E2" s="68"/>
      <c r="F2" s="68"/>
      <c r="G2" s="68"/>
      <c r="H2" s="68"/>
      <c r="I2" s="68"/>
    </row>
    <row r="3" spans="1:19" s="15" customFormat="1" ht="48.75" customHeight="1" thickBot="1" x14ac:dyDescent="0.3">
      <c r="B3" s="183" t="s">
        <v>162</v>
      </c>
      <c r="C3" s="184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s="15" customFormat="1" x14ac:dyDescent="0.25">
      <c r="B4" s="16" t="s">
        <v>8</v>
      </c>
      <c r="C4" s="69" t="s">
        <v>117</v>
      </c>
      <c r="D4" s="70"/>
      <c r="E4" s="70"/>
      <c r="F4" s="70"/>
      <c r="G4" s="70"/>
      <c r="H4" s="70"/>
      <c r="I4" s="70"/>
      <c r="J4" s="44"/>
      <c r="K4" s="71"/>
      <c r="L4" s="71"/>
      <c r="M4" s="71"/>
      <c r="N4" s="71"/>
      <c r="O4" s="22"/>
      <c r="P4" s="22"/>
      <c r="Q4" s="22"/>
      <c r="R4" s="22"/>
      <c r="S4" s="23"/>
    </row>
    <row r="5" spans="1:19" s="15" customFormat="1" x14ac:dyDescent="0.25">
      <c r="B5" s="16" t="s">
        <v>11</v>
      </c>
      <c r="C5" s="72">
        <v>75</v>
      </c>
      <c r="D5" s="70"/>
      <c r="E5" s="70"/>
      <c r="F5" s="70"/>
      <c r="G5" s="70"/>
      <c r="H5" s="70"/>
      <c r="I5" s="70"/>
      <c r="J5" s="16"/>
      <c r="K5" s="73"/>
      <c r="L5" s="73"/>
      <c r="M5" s="73"/>
      <c r="N5" s="73"/>
      <c r="O5" s="18"/>
      <c r="P5" s="18"/>
      <c r="Q5" s="18"/>
      <c r="R5" s="18"/>
      <c r="S5" s="19"/>
    </row>
    <row r="6" spans="1:19" s="15" customFormat="1" ht="15" customHeight="1" x14ac:dyDescent="0.25">
      <c r="B6" s="16" t="s">
        <v>10</v>
      </c>
      <c r="C6" s="72">
        <v>2021</v>
      </c>
      <c r="D6" s="70"/>
      <c r="E6" s="70"/>
      <c r="F6" s="70"/>
      <c r="G6" s="70"/>
      <c r="H6" s="70"/>
      <c r="I6" s="70"/>
      <c r="J6" s="16"/>
      <c r="K6" s="74"/>
      <c r="L6" s="74"/>
      <c r="M6" s="74"/>
      <c r="N6" s="73"/>
      <c r="O6" s="18"/>
      <c r="P6" s="18"/>
      <c r="Q6" s="18"/>
      <c r="R6" s="18"/>
      <c r="S6" s="19"/>
    </row>
    <row r="7" spans="1:19" s="15" customFormat="1" x14ac:dyDescent="0.25">
      <c r="A7" s="36"/>
      <c r="B7" s="16"/>
      <c r="C7" s="70"/>
      <c r="D7" s="70"/>
      <c r="E7" s="70"/>
      <c r="F7" s="70"/>
      <c r="G7" s="70"/>
      <c r="H7" s="70"/>
      <c r="I7" s="18"/>
      <c r="J7" s="16" t="s">
        <v>145</v>
      </c>
      <c r="K7" s="182" t="s">
        <v>140</v>
      </c>
      <c r="L7" s="182"/>
      <c r="M7" s="182"/>
      <c r="N7" s="73"/>
      <c r="O7" s="179" t="s">
        <v>138</v>
      </c>
      <c r="P7" s="179"/>
      <c r="Q7" s="179"/>
      <c r="R7" s="179"/>
      <c r="S7" s="180"/>
    </row>
    <row r="8" spans="1:19" s="15" customFormat="1" x14ac:dyDescent="0.25">
      <c r="B8" s="16"/>
      <c r="C8" s="49" t="str">
        <f>C4</f>
        <v>HOTEL ABC</v>
      </c>
      <c r="D8" s="76">
        <f>C6</f>
        <v>2021</v>
      </c>
      <c r="E8" s="76">
        <f>D8+1</f>
        <v>2022</v>
      </c>
      <c r="F8" s="76">
        <f>E8+1</f>
        <v>2023</v>
      </c>
      <c r="G8" s="76">
        <f>F8+1</f>
        <v>2024</v>
      </c>
      <c r="H8" s="76">
        <f>G8+1</f>
        <v>2025</v>
      </c>
      <c r="I8" s="18"/>
      <c r="J8" s="48" t="str">
        <f>C4</f>
        <v>HOTEL ABC</v>
      </c>
      <c r="K8" s="77">
        <f>'Historic P&amp;L'!C8</f>
        <v>2017</v>
      </c>
      <c r="L8" s="77">
        <f>'Historic P&amp;L'!D8</f>
        <v>2018</v>
      </c>
      <c r="M8" s="77">
        <f>'Historic P&amp;L'!E8</f>
        <v>2019</v>
      </c>
      <c r="N8" s="77"/>
      <c r="O8" s="76">
        <f>C6</f>
        <v>2021</v>
      </c>
      <c r="P8" s="76">
        <f>O8+1</f>
        <v>2022</v>
      </c>
      <c r="Q8" s="76">
        <f>P8+1</f>
        <v>2023</v>
      </c>
      <c r="R8" s="76">
        <f>Q8+1</f>
        <v>2024</v>
      </c>
      <c r="S8" s="78">
        <f>R8+1</f>
        <v>2025</v>
      </c>
    </row>
    <row r="9" spans="1:19" s="15" customFormat="1" x14ac:dyDescent="0.25">
      <c r="B9" s="16"/>
      <c r="C9" s="79" t="s">
        <v>12</v>
      </c>
      <c r="D9" s="80">
        <f>$C$5*365</f>
        <v>27375</v>
      </c>
      <c r="E9" s="80">
        <f>$C$5*365</f>
        <v>27375</v>
      </c>
      <c r="F9" s="80">
        <f>$C$5*365</f>
        <v>27375</v>
      </c>
      <c r="G9" s="80">
        <f>$C$5*365</f>
        <v>27375</v>
      </c>
      <c r="H9" s="80">
        <f>$C$5*365</f>
        <v>27375</v>
      </c>
      <c r="I9" s="18"/>
      <c r="J9" s="81" t="s">
        <v>12</v>
      </c>
      <c r="K9" s="79"/>
      <c r="L9" s="79"/>
      <c r="M9" s="79"/>
      <c r="N9" s="79"/>
      <c r="O9" s="80">
        <f t="shared" ref="O9:S13" si="0">D9</f>
        <v>27375</v>
      </c>
      <c r="P9" s="80">
        <f t="shared" si="0"/>
        <v>27375</v>
      </c>
      <c r="Q9" s="80">
        <f t="shared" si="0"/>
        <v>27375</v>
      </c>
      <c r="R9" s="80">
        <f t="shared" si="0"/>
        <v>27375</v>
      </c>
      <c r="S9" s="82">
        <f t="shared" si="0"/>
        <v>27375</v>
      </c>
    </row>
    <row r="10" spans="1:19" s="15" customFormat="1" x14ac:dyDescent="0.25">
      <c r="B10" s="16"/>
      <c r="C10" s="79" t="s">
        <v>14</v>
      </c>
      <c r="D10" s="80">
        <f>D11*D9</f>
        <v>13687.5</v>
      </c>
      <c r="E10" s="80">
        <f t="shared" ref="E10:H10" si="1">E11*E9</f>
        <v>17793.75</v>
      </c>
      <c r="F10" s="80">
        <f t="shared" si="1"/>
        <v>18615</v>
      </c>
      <c r="G10" s="80">
        <f t="shared" si="1"/>
        <v>19710</v>
      </c>
      <c r="H10" s="80">
        <f t="shared" si="1"/>
        <v>19983.75</v>
      </c>
      <c r="I10" s="18"/>
      <c r="J10" s="81" t="s">
        <v>14</v>
      </c>
      <c r="K10" s="79"/>
      <c r="L10" s="79"/>
      <c r="M10" s="79"/>
      <c r="N10" s="79"/>
      <c r="O10" s="80">
        <f t="shared" si="0"/>
        <v>13687.5</v>
      </c>
      <c r="P10" s="80">
        <f t="shared" si="0"/>
        <v>17793.75</v>
      </c>
      <c r="Q10" s="80">
        <f t="shared" si="0"/>
        <v>18615</v>
      </c>
      <c r="R10" s="80">
        <f t="shared" si="0"/>
        <v>19710</v>
      </c>
      <c r="S10" s="82">
        <f t="shared" si="0"/>
        <v>19983.75</v>
      </c>
    </row>
    <row r="11" spans="1:19" s="15" customFormat="1" x14ac:dyDescent="0.25">
      <c r="B11" s="83" t="s">
        <v>51</v>
      </c>
      <c r="C11" s="79" t="s">
        <v>13</v>
      </c>
      <c r="D11" s="84">
        <v>0.5</v>
      </c>
      <c r="E11" s="84">
        <v>0.65</v>
      </c>
      <c r="F11" s="84">
        <v>0.68</v>
      </c>
      <c r="G11" s="84">
        <v>0.72</v>
      </c>
      <c r="H11" s="84">
        <v>0.73</v>
      </c>
      <c r="I11" s="18"/>
      <c r="J11" s="81" t="s">
        <v>13</v>
      </c>
      <c r="K11" s="85">
        <f>'Historic P&amp;L'!C9</f>
        <v>0.78</v>
      </c>
      <c r="L11" s="85">
        <f>'Historic P&amp;L'!D9</f>
        <v>0.72</v>
      </c>
      <c r="M11" s="85">
        <f>'Historic P&amp;L'!E9</f>
        <v>0.73</v>
      </c>
      <c r="N11" s="85"/>
      <c r="O11" s="85">
        <f t="shared" si="0"/>
        <v>0.5</v>
      </c>
      <c r="P11" s="85">
        <f t="shared" si="0"/>
        <v>0.65</v>
      </c>
      <c r="Q11" s="85">
        <f t="shared" si="0"/>
        <v>0.68</v>
      </c>
      <c r="R11" s="85">
        <f t="shared" si="0"/>
        <v>0.72</v>
      </c>
      <c r="S11" s="86">
        <f t="shared" si="0"/>
        <v>0.73</v>
      </c>
    </row>
    <row r="12" spans="1:19" s="15" customFormat="1" x14ac:dyDescent="0.25">
      <c r="B12" s="83" t="s">
        <v>52</v>
      </c>
      <c r="C12" s="79" t="s">
        <v>15</v>
      </c>
      <c r="D12" s="87">
        <v>120</v>
      </c>
      <c r="E12" s="87">
        <v>125</v>
      </c>
      <c r="F12" s="87">
        <v>130</v>
      </c>
      <c r="G12" s="87">
        <v>135</v>
      </c>
      <c r="H12" s="87">
        <v>136</v>
      </c>
      <c r="I12" s="18"/>
      <c r="J12" s="81" t="s">
        <v>15</v>
      </c>
      <c r="K12" s="88">
        <f>'Historic P&amp;L'!C10</f>
        <v>125.25</v>
      </c>
      <c r="L12" s="88">
        <f>'Historic P&amp;L'!D10</f>
        <v>136.36000000000001</v>
      </c>
      <c r="M12" s="88">
        <f>'Historic P&amp;L'!E10</f>
        <v>135.5</v>
      </c>
      <c r="N12" s="88"/>
      <c r="O12" s="88">
        <f t="shared" si="0"/>
        <v>120</v>
      </c>
      <c r="P12" s="88">
        <f t="shared" si="0"/>
        <v>125</v>
      </c>
      <c r="Q12" s="88">
        <f t="shared" si="0"/>
        <v>130</v>
      </c>
      <c r="R12" s="88">
        <f t="shared" si="0"/>
        <v>135</v>
      </c>
      <c r="S12" s="89">
        <f t="shared" si="0"/>
        <v>136</v>
      </c>
    </row>
    <row r="13" spans="1:19" s="15" customFormat="1" x14ac:dyDescent="0.25">
      <c r="B13" s="16"/>
      <c r="C13" s="79" t="s">
        <v>16</v>
      </c>
      <c r="D13" s="90">
        <f>D12*D11</f>
        <v>60</v>
      </c>
      <c r="E13" s="90">
        <f t="shared" ref="E13:H13" si="2">E12*E11</f>
        <v>81.25</v>
      </c>
      <c r="F13" s="90">
        <f t="shared" si="2"/>
        <v>88.4</v>
      </c>
      <c r="G13" s="90">
        <f t="shared" si="2"/>
        <v>97.2</v>
      </c>
      <c r="H13" s="90">
        <f t="shared" si="2"/>
        <v>99.28</v>
      </c>
      <c r="I13" s="18"/>
      <c r="J13" s="81" t="s">
        <v>16</v>
      </c>
      <c r="K13" s="90">
        <f>'Historic P&amp;L'!C11</f>
        <v>97.695000000000007</v>
      </c>
      <c r="L13" s="90">
        <f>'Historic P&amp;L'!D11</f>
        <v>98.179200000000009</v>
      </c>
      <c r="M13" s="90">
        <f>'Historic P&amp;L'!E11</f>
        <v>98.914999999999992</v>
      </c>
      <c r="N13" s="90"/>
      <c r="O13" s="90">
        <f t="shared" si="0"/>
        <v>60</v>
      </c>
      <c r="P13" s="90">
        <f t="shared" si="0"/>
        <v>81.25</v>
      </c>
      <c r="Q13" s="90">
        <f t="shared" si="0"/>
        <v>88.4</v>
      </c>
      <c r="R13" s="90">
        <f t="shared" si="0"/>
        <v>97.2</v>
      </c>
      <c r="S13" s="91">
        <f t="shared" si="0"/>
        <v>99.28</v>
      </c>
    </row>
    <row r="14" spans="1:19" s="15" customFormat="1" x14ac:dyDescent="0.25">
      <c r="B14" s="16"/>
      <c r="C14" s="79"/>
      <c r="D14" s="92"/>
      <c r="E14" s="92"/>
      <c r="F14" s="92"/>
      <c r="G14" s="92"/>
      <c r="H14" s="92"/>
      <c r="I14" s="18"/>
      <c r="J14" s="81"/>
      <c r="K14" s="79"/>
      <c r="L14" s="79"/>
      <c r="M14" s="79"/>
      <c r="N14" s="79"/>
      <c r="O14" s="92"/>
      <c r="P14" s="92"/>
      <c r="Q14" s="92"/>
      <c r="R14" s="92"/>
      <c r="S14" s="93"/>
    </row>
    <row r="15" spans="1:19" s="15" customFormat="1" x14ac:dyDescent="0.25">
      <c r="B15" s="16"/>
      <c r="C15" s="94" t="s">
        <v>0</v>
      </c>
      <c r="D15" s="95"/>
      <c r="E15" s="95"/>
      <c r="F15" s="95"/>
      <c r="G15" s="95"/>
      <c r="H15" s="95"/>
      <c r="I15" s="18"/>
      <c r="J15" s="96" t="s">
        <v>0</v>
      </c>
      <c r="K15" s="94"/>
      <c r="L15" s="94"/>
      <c r="M15" s="94"/>
      <c r="N15" s="94"/>
      <c r="O15" s="95"/>
      <c r="P15" s="95"/>
      <c r="Q15" s="95"/>
      <c r="R15" s="95"/>
      <c r="S15" s="97"/>
    </row>
    <row r="16" spans="1:19" s="15" customFormat="1" x14ac:dyDescent="0.25">
      <c r="B16" s="16"/>
      <c r="C16" s="98" t="s">
        <v>17</v>
      </c>
      <c r="D16" s="99">
        <f>D10*D12</f>
        <v>1642500</v>
      </c>
      <c r="E16" s="99">
        <f t="shared" ref="E16:H16" si="3">E10*E12</f>
        <v>2224218.75</v>
      </c>
      <c r="F16" s="99">
        <f t="shared" si="3"/>
        <v>2419950</v>
      </c>
      <c r="G16" s="99">
        <f t="shared" si="3"/>
        <v>2660850</v>
      </c>
      <c r="H16" s="99">
        <f t="shared" si="3"/>
        <v>2717790</v>
      </c>
      <c r="I16" s="18"/>
      <c r="J16" s="100" t="s">
        <v>17</v>
      </c>
      <c r="K16" s="99">
        <f>'Historic P&amp;L'!C14</f>
        <v>1961227.125</v>
      </c>
      <c r="L16" s="99">
        <f>'Historic P&amp;L'!D14</f>
        <v>1970947.4400000002</v>
      </c>
      <c r="M16" s="99">
        <f>'Historic P&amp;L'!E14</f>
        <v>1985718.625</v>
      </c>
      <c r="N16" s="99"/>
      <c r="O16" s="99">
        <f>D16</f>
        <v>1642500</v>
      </c>
      <c r="P16" s="99">
        <f>E16</f>
        <v>2224218.75</v>
      </c>
      <c r="Q16" s="99">
        <f>F16</f>
        <v>2419950</v>
      </c>
      <c r="R16" s="99">
        <f>G16</f>
        <v>2660850</v>
      </c>
      <c r="S16" s="101">
        <f>H16</f>
        <v>2717790</v>
      </c>
    </row>
    <row r="17" spans="2:19" s="15" customFormat="1" x14ac:dyDescent="0.25">
      <c r="B17" s="16"/>
      <c r="C17" s="98" t="s">
        <v>18</v>
      </c>
      <c r="D17" s="178" t="s">
        <v>87</v>
      </c>
      <c r="E17" s="178"/>
      <c r="F17" s="178"/>
      <c r="G17" s="178"/>
      <c r="H17" s="178"/>
      <c r="I17" s="18"/>
      <c r="J17" s="100" t="s">
        <v>18</v>
      </c>
      <c r="K17" s="99">
        <f>'Historic P&amp;L'!C15</f>
        <v>400000</v>
      </c>
      <c r="L17" s="99">
        <f>'Historic P&amp;L'!D15</f>
        <v>410000</v>
      </c>
      <c r="M17" s="99">
        <f>'Historic P&amp;L'!E15</f>
        <v>420000</v>
      </c>
      <c r="N17" s="99"/>
      <c r="O17" s="99">
        <f>D61+D62</f>
        <v>428500</v>
      </c>
      <c r="P17" s="99">
        <f>E61+E62</f>
        <v>632700</v>
      </c>
      <c r="Q17" s="99">
        <f>F61+F62</f>
        <v>728000</v>
      </c>
      <c r="R17" s="99">
        <f>G61+G62</f>
        <v>764500</v>
      </c>
      <c r="S17" s="101">
        <f>H61+H62</f>
        <v>801000</v>
      </c>
    </row>
    <row r="18" spans="2:19" s="15" customFormat="1" x14ac:dyDescent="0.25">
      <c r="B18" s="16"/>
      <c r="C18" s="98" t="s">
        <v>19</v>
      </c>
      <c r="D18" s="178" t="s">
        <v>87</v>
      </c>
      <c r="E18" s="178"/>
      <c r="F18" s="178"/>
      <c r="G18" s="178"/>
      <c r="H18" s="178"/>
      <c r="I18" s="18"/>
      <c r="J18" s="100" t="s">
        <v>19</v>
      </c>
      <c r="K18" s="99">
        <f>'Historic P&amp;L'!C16</f>
        <v>200000</v>
      </c>
      <c r="L18" s="99">
        <f>'Historic P&amp;L'!D16</f>
        <v>210000</v>
      </c>
      <c r="M18" s="99">
        <f>'Historic P&amp;L'!E16</f>
        <v>220000</v>
      </c>
      <c r="N18" s="99"/>
      <c r="O18" s="99">
        <f>D67+D68</f>
        <v>122125</v>
      </c>
      <c r="P18" s="99">
        <f>E67+E68</f>
        <v>199425</v>
      </c>
      <c r="Q18" s="99">
        <f>F67+F68</f>
        <v>236450</v>
      </c>
      <c r="R18" s="99">
        <f>G67+G68</f>
        <v>245575</v>
      </c>
      <c r="S18" s="101">
        <f>H67+H68</f>
        <v>254700</v>
      </c>
    </row>
    <row r="19" spans="2:19" s="15" customFormat="1" x14ac:dyDescent="0.25">
      <c r="B19" s="16"/>
      <c r="C19" s="98" t="s">
        <v>112</v>
      </c>
      <c r="D19" s="178" t="s">
        <v>87</v>
      </c>
      <c r="E19" s="178"/>
      <c r="F19" s="178"/>
      <c r="G19" s="178"/>
      <c r="H19" s="178"/>
      <c r="I19" s="18"/>
      <c r="J19" s="100" t="s">
        <v>118</v>
      </c>
      <c r="K19" s="99">
        <f>'Historic P&amp;L'!C17</f>
        <v>150000</v>
      </c>
      <c r="L19" s="99">
        <f>'Historic P&amp;L'!D17</f>
        <v>160000</v>
      </c>
      <c r="M19" s="99">
        <f>'Historic P&amp;L'!E17</f>
        <v>170000</v>
      </c>
      <c r="N19" s="99"/>
      <c r="O19" s="99">
        <f>D81+D89</f>
        <v>157500</v>
      </c>
      <c r="P19" s="99">
        <f t="shared" ref="P19:S19" si="4">E81+E89</f>
        <v>198876</v>
      </c>
      <c r="Q19" s="99">
        <f t="shared" si="4"/>
        <v>219002</v>
      </c>
      <c r="R19" s="99">
        <f t="shared" si="4"/>
        <v>227858</v>
      </c>
      <c r="S19" s="101">
        <f t="shared" si="4"/>
        <v>236944</v>
      </c>
    </row>
    <row r="20" spans="2:19" s="15" customFormat="1" x14ac:dyDescent="0.25">
      <c r="B20" s="83" t="s">
        <v>45</v>
      </c>
      <c r="C20" s="98" t="s">
        <v>20</v>
      </c>
      <c r="D20" s="102">
        <v>0.02</v>
      </c>
      <c r="E20" s="102">
        <v>0.02</v>
      </c>
      <c r="F20" s="102">
        <v>0.03</v>
      </c>
      <c r="G20" s="102">
        <v>0.03</v>
      </c>
      <c r="H20" s="102">
        <v>0.03</v>
      </c>
      <c r="I20" s="18"/>
      <c r="J20" s="100" t="s">
        <v>20</v>
      </c>
      <c r="K20" s="99">
        <f>'Historic P&amp;L'!C18</f>
        <v>50000</v>
      </c>
      <c r="L20" s="99">
        <f>'Historic P&amp;L'!D18</f>
        <v>55000</v>
      </c>
      <c r="M20" s="99">
        <f>'Historic P&amp;L'!E18</f>
        <v>60000</v>
      </c>
      <c r="N20" s="99"/>
      <c r="O20" s="99">
        <f>D20*D16</f>
        <v>32850</v>
      </c>
      <c r="P20" s="99">
        <f>E20*E16</f>
        <v>44484.375</v>
      </c>
      <c r="Q20" s="99">
        <f>F20*F16</f>
        <v>72598.5</v>
      </c>
      <c r="R20" s="99">
        <f>G20*G16</f>
        <v>79825.5</v>
      </c>
      <c r="S20" s="101">
        <f>H20*H16</f>
        <v>81533.7</v>
      </c>
    </row>
    <row r="21" spans="2:19" s="15" customFormat="1" x14ac:dyDescent="0.25">
      <c r="B21" s="16"/>
      <c r="C21" s="103" t="s">
        <v>1</v>
      </c>
      <c r="D21" s="104"/>
      <c r="E21" s="104"/>
      <c r="F21" s="104"/>
      <c r="G21" s="104"/>
      <c r="H21" s="104"/>
      <c r="I21" s="18"/>
      <c r="J21" s="105" t="s">
        <v>1</v>
      </c>
      <c r="K21" s="104">
        <f t="shared" ref="K21:M21" si="5">SUM(K16:K20)</f>
        <v>2761227.125</v>
      </c>
      <c r="L21" s="104">
        <f t="shared" si="5"/>
        <v>2805947.4400000004</v>
      </c>
      <c r="M21" s="104">
        <f t="shared" si="5"/>
        <v>2855718.625</v>
      </c>
      <c r="N21" s="104"/>
      <c r="O21" s="104">
        <f>SUM(O16:O20)</f>
        <v>2383475</v>
      </c>
      <c r="P21" s="104">
        <f t="shared" ref="P21:S21" si="6">SUM(P16:P20)</f>
        <v>3299704.125</v>
      </c>
      <c r="Q21" s="104">
        <f t="shared" si="6"/>
        <v>3676000.5</v>
      </c>
      <c r="R21" s="104">
        <f t="shared" si="6"/>
        <v>3978608.5</v>
      </c>
      <c r="S21" s="106">
        <f t="shared" si="6"/>
        <v>4091967.7</v>
      </c>
    </row>
    <row r="22" spans="2:19" s="15" customFormat="1" x14ac:dyDescent="0.25">
      <c r="B22" s="16"/>
      <c r="C22" s="107"/>
      <c r="D22" s="28"/>
      <c r="E22" s="28"/>
      <c r="F22" s="28"/>
      <c r="G22" s="28"/>
      <c r="H22" s="28"/>
      <c r="I22" s="18"/>
      <c r="J22" s="108"/>
      <c r="K22" s="109"/>
      <c r="L22" s="109"/>
      <c r="M22" s="109"/>
      <c r="N22" s="109"/>
      <c r="O22" s="28"/>
      <c r="P22" s="28"/>
      <c r="Q22" s="28"/>
      <c r="R22" s="28"/>
      <c r="S22" s="29"/>
    </row>
    <row r="23" spans="2:19" s="15" customFormat="1" x14ac:dyDescent="0.25">
      <c r="B23" s="16"/>
      <c r="C23" s="110" t="s">
        <v>21</v>
      </c>
      <c r="D23" s="28"/>
      <c r="E23" s="28"/>
      <c r="F23" s="28"/>
      <c r="G23" s="28"/>
      <c r="H23" s="28"/>
      <c r="I23" s="18"/>
      <c r="J23" s="111" t="s">
        <v>21</v>
      </c>
      <c r="K23" s="109"/>
      <c r="L23" s="109"/>
      <c r="M23" s="109"/>
      <c r="N23" s="109"/>
      <c r="O23" s="28"/>
      <c r="P23" s="28"/>
      <c r="Q23" s="28"/>
      <c r="R23" s="28"/>
      <c r="S23" s="29"/>
    </row>
    <row r="24" spans="2:19" s="15" customFormat="1" x14ac:dyDescent="0.25">
      <c r="B24" s="83" t="s">
        <v>45</v>
      </c>
      <c r="C24" s="107" t="s">
        <v>22</v>
      </c>
      <c r="D24" s="112">
        <v>0.18</v>
      </c>
      <c r="E24" s="112">
        <v>0.23</v>
      </c>
      <c r="F24" s="112">
        <v>0.2</v>
      </c>
      <c r="G24" s="112">
        <v>0.2</v>
      </c>
      <c r="H24" s="112">
        <v>0.2</v>
      </c>
      <c r="I24" s="18"/>
      <c r="J24" s="108" t="s">
        <v>22</v>
      </c>
      <c r="K24" s="28">
        <f>'Historic P&amp;L'!C22</f>
        <v>411857.69624999998</v>
      </c>
      <c r="L24" s="28">
        <f>'Historic P&amp;L'!D22</f>
        <v>413898.96240000002</v>
      </c>
      <c r="M24" s="28">
        <f>'Historic P&amp;L'!E22</f>
        <v>417000.91125</v>
      </c>
      <c r="N24" s="28"/>
      <c r="O24" s="28">
        <f>D24*O16</f>
        <v>295650</v>
      </c>
      <c r="P24" s="28">
        <f>E24*P16</f>
        <v>511570.3125</v>
      </c>
      <c r="Q24" s="28">
        <f>F24*Q16</f>
        <v>483990</v>
      </c>
      <c r="R24" s="28">
        <f>G24*R16</f>
        <v>532170</v>
      </c>
      <c r="S24" s="29">
        <f>H24*S16</f>
        <v>543558</v>
      </c>
    </row>
    <row r="25" spans="2:19" s="15" customFormat="1" x14ac:dyDescent="0.25">
      <c r="B25" s="83" t="s">
        <v>45</v>
      </c>
      <c r="C25" s="107" t="s">
        <v>23</v>
      </c>
      <c r="D25" s="112">
        <v>0.1</v>
      </c>
      <c r="E25" s="112">
        <v>0.1</v>
      </c>
      <c r="F25" s="112">
        <v>0.1</v>
      </c>
      <c r="G25" s="112">
        <v>0.1</v>
      </c>
      <c r="H25" s="112">
        <v>0.1</v>
      </c>
      <c r="I25" s="18"/>
      <c r="J25" s="108" t="s">
        <v>23</v>
      </c>
      <c r="K25" s="28">
        <f>'Historic P&amp;L'!C23</f>
        <v>196122.71250000002</v>
      </c>
      <c r="L25" s="28">
        <f>'Historic P&amp;L'!D23</f>
        <v>197094.74400000004</v>
      </c>
      <c r="M25" s="28">
        <f>'Historic P&amp;L'!E23</f>
        <v>198571.86250000002</v>
      </c>
      <c r="N25" s="28"/>
      <c r="O25" s="28">
        <f>D25*O16</f>
        <v>164250</v>
      </c>
      <c r="P25" s="28">
        <f>E25*P16</f>
        <v>222421.875</v>
      </c>
      <c r="Q25" s="28">
        <f>F25*Q16</f>
        <v>241995</v>
      </c>
      <c r="R25" s="28">
        <f>G25*R16</f>
        <v>266085</v>
      </c>
      <c r="S25" s="29">
        <f>H25*S16</f>
        <v>271779</v>
      </c>
    </row>
    <row r="26" spans="2:19" s="15" customFormat="1" x14ac:dyDescent="0.25">
      <c r="B26" s="83" t="s">
        <v>46</v>
      </c>
      <c r="C26" s="107" t="s">
        <v>24</v>
      </c>
      <c r="D26" s="112">
        <v>0.25</v>
      </c>
      <c r="E26" s="112">
        <v>0.3</v>
      </c>
      <c r="F26" s="112">
        <v>0.3</v>
      </c>
      <c r="G26" s="112">
        <v>0.3</v>
      </c>
      <c r="H26" s="112">
        <v>0.3</v>
      </c>
      <c r="I26" s="18"/>
      <c r="J26" s="108" t="s">
        <v>24</v>
      </c>
      <c r="K26" s="28">
        <f>'Historic P&amp;L'!C24</f>
        <v>180000</v>
      </c>
      <c r="L26" s="28">
        <f>'Historic P&amp;L'!D24</f>
        <v>186000</v>
      </c>
      <c r="M26" s="28">
        <f>'Historic P&amp;L'!E24</f>
        <v>192000</v>
      </c>
      <c r="N26" s="28"/>
      <c r="O26" s="28">
        <f>D26*(O17+O18)</f>
        <v>137656.25</v>
      </c>
      <c r="P26" s="28">
        <f>E26*(P17+P18)</f>
        <v>249637.5</v>
      </c>
      <c r="Q26" s="28">
        <f>F26*(Q17+Q18)</f>
        <v>289335</v>
      </c>
      <c r="R26" s="28">
        <f>G26*(R17+R18)</f>
        <v>303022.5</v>
      </c>
      <c r="S26" s="29">
        <f>H26*(S17+S18)</f>
        <v>316710</v>
      </c>
    </row>
    <row r="27" spans="2:19" s="15" customFormat="1" x14ac:dyDescent="0.25">
      <c r="B27" s="83" t="s">
        <v>46</v>
      </c>
      <c r="C27" s="107" t="s">
        <v>25</v>
      </c>
      <c r="D27" s="112">
        <v>0.32</v>
      </c>
      <c r="E27" s="112">
        <v>0.31</v>
      </c>
      <c r="F27" s="112">
        <v>0.31</v>
      </c>
      <c r="G27" s="112">
        <v>0.31</v>
      </c>
      <c r="H27" s="112">
        <v>0.31</v>
      </c>
      <c r="I27" s="18"/>
      <c r="J27" s="108" t="s">
        <v>25</v>
      </c>
      <c r="K27" s="28">
        <f>'Historic P&amp;L'!C25</f>
        <v>186000</v>
      </c>
      <c r="L27" s="28">
        <f>'Historic P&amp;L'!D25</f>
        <v>192200</v>
      </c>
      <c r="M27" s="28">
        <f>'Historic P&amp;L'!E25</f>
        <v>198400</v>
      </c>
      <c r="N27" s="28"/>
      <c r="O27" s="28">
        <f>D27*(O17+O18)</f>
        <v>176200</v>
      </c>
      <c r="P27" s="28">
        <f>E27*(P17+P18)</f>
        <v>257958.75</v>
      </c>
      <c r="Q27" s="28">
        <f>F27*(Q17+Q18)</f>
        <v>298979.5</v>
      </c>
      <c r="R27" s="28">
        <f>G27*(R17+R18)</f>
        <v>313123.25</v>
      </c>
      <c r="S27" s="29">
        <f>H27*(S17+S18)</f>
        <v>327267</v>
      </c>
    </row>
    <row r="28" spans="2:19" s="15" customFormat="1" x14ac:dyDescent="0.25">
      <c r="B28" s="83" t="s">
        <v>46</v>
      </c>
      <c r="C28" s="113" t="s">
        <v>26</v>
      </c>
      <c r="D28" s="102">
        <v>0.1</v>
      </c>
      <c r="E28" s="102">
        <v>0.1</v>
      </c>
      <c r="F28" s="102">
        <v>0.1</v>
      </c>
      <c r="G28" s="102">
        <v>0.1</v>
      </c>
      <c r="H28" s="102">
        <v>0.1</v>
      </c>
      <c r="I28" s="18"/>
      <c r="J28" s="114" t="s">
        <v>26</v>
      </c>
      <c r="K28" s="28">
        <f>'Historic P&amp;L'!C26</f>
        <v>30000</v>
      </c>
      <c r="L28" s="28">
        <f>'Historic P&amp;L'!D26</f>
        <v>31000</v>
      </c>
      <c r="M28" s="28">
        <f>'Historic P&amp;L'!E26</f>
        <v>32000</v>
      </c>
      <c r="N28" s="28"/>
      <c r="O28" s="28">
        <f>D28*(O17+O18)</f>
        <v>55062.5</v>
      </c>
      <c r="P28" s="28">
        <f>E28*(P17+P18)</f>
        <v>83212.5</v>
      </c>
      <c r="Q28" s="28">
        <f>F28*(Q17+Q18)</f>
        <v>96445</v>
      </c>
      <c r="R28" s="28">
        <f>G28*(R17+R18)</f>
        <v>101007.5</v>
      </c>
      <c r="S28" s="29">
        <f>H28*(S17+S18)</f>
        <v>105570</v>
      </c>
    </row>
    <row r="29" spans="2:19" s="15" customFormat="1" x14ac:dyDescent="0.25">
      <c r="B29" s="83" t="s">
        <v>119</v>
      </c>
      <c r="C29" s="115" t="s">
        <v>114</v>
      </c>
      <c r="D29" s="102">
        <v>0.2</v>
      </c>
      <c r="E29" s="102">
        <v>0.25</v>
      </c>
      <c r="F29" s="102">
        <v>0.25</v>
      </c>
      <c r="G29" s="102">
        <v>0.25</v>
      </c>
      <c r="H29" s="102">
        <v>0.25</v>
      </c>
      <c r="I29" s="18"/>
      <c r="J29" s="116" t="s">
        <v>114</v>
      </c>
      <c r="K29" s="28">
        <f>'Historic P&amp;L'!C27</f>
        <v>28500</v>
      </c>
      <c r="L29" s="28">
        <f>'Historic P&amp;L'!D27</f>
        <v>30400</v>
      </c>
      <c r="M29" s="28">
        <f>'Historic P&amp;L'!E27</f>
        <v>32300</v>
      </c>
      <c r="N29" s="28"/>
      <c r="O29" s="28">
        <f>D29*O19</f>
        <v>31500</v>
      </c>
      <c r="P29" s="28">
        <f t="shared" ref="P29:S29" si="7">E29*P19</f>
        <v>49719</v>
      </c>
      <c r="Q29" s="28">
        <f t="shared" si="7"/>
        <v>54750.5</v>
      </c>
      <c r="R29" s="28">
        <f t="shared" si="7"/>
        <v>56964.5</v>
      </c>
      <c r="S29" s="29">
        <f t="shared" si="7"/>
        <v>59236</v>
      </c>
    </row>
    <row r="30" spans="2:19" s="15" customFormat="1" x14ac:dyDescent="0.25">
      <c r="B30" s="83" t="s">
        <v>119</v>
      </c>
      <c r="C30" s="115" t="s">
        <v>113</v>
      </c>
      <c r="D30" s="102">
        <v>0.25</v>
      </c>
      <c r="E30" s="102">
        <v>0.25</v>
      </c>
      <c r="F30" s="102">
        <v>0.25</v>
      </c>
      <c r="G30" s="102">
        <v>0.25</v>
      </c>
      <c r="H30" s="102">
        <v>0.25</v>
      </c>
      <c r="I30" s="18"/>
      <c r="J30" s="116" t="s">
        <v>113</v>
      </c>
      <c r="K30" s="28">
        <f>'Historic P&amp;L'!C28</f>
        <v>22500</v>
      </c>
      <c r="L30" s="28">
        <f>'Historic P&amp;L'!D28</f>
        <v>24000</v>
      </c>
      <c r="M30" s="28">
        <f>'Historic P&amp;L'!E28</f>
        <v>25500</v>
      </c>
      <c r="N30" s="28"/>
      <c r="O30" s="28">
        <f>D30*O19</f>
        <v>39375</v>
      </c>
      <c r="P30" s="28">
        <f t="shared" ref="P30:S30" si="8">E30*P19</f>
        <v>49719</v>
      </c>
      <c r="Q30" s="28">
        <f t="shared" si="8"/>
        <v>54750.5</v>
      </c>
      <c r="R30" s="28">
        <f t="shared" si="8"/>
        <v>56964.5</v>
      </c>
      <c r="S30" s="29">
        <f t="shared" si="8"/>
        <v>59236</v>
      </c>
    </row>
    <row r="31" spans="2:19" s="15" customFormat="1" x14ac:dyDescent="0.25">
      <c r="B31" s="83" t="s">
        <v>119</v>
      </c>
      <c r="C31" s="115" t="s">
        <v>115</v>
      </c>
      <c r="D31" s="102">
        <v>0.08</v>
      </c>
      <c r="E31" s="102">
        <v>7.0000000000000007E-2</v>
      </c>
      <c r="F31" s="102">
        <v>0.06</v>
      </c>
      <c r="G31" s="102">
        <v>0.06</v>
      </c>
      <c r="H31" s="102">
        <v>0.06</v>
      </c>
      <c r="I31" s="18"/>
      <c r="J31" s="116" t="s">
        <v>115</v>
      </c>
      <c r="K31" s="28">
        <f>'Historic P&amp;L'!C29</f>
        <v>37500</v>
      </c>
      <c r="L31" s="28">
        <f>'Historic P&amp;L'!D29</f>
        <v>40000</v>
      </c>
      <c r="M31" s="28">
        <f>'Historic P&amp;L'!E29</f>
        <v>42500</v>
      </c>
      <c r="N31" s="28"/>
      <c r="O31" s="28">
        <f>D31*O19</f>
        <v>12600</v>
      </c>
      <c r="P31" s="28">
        <f t="shared" ref="P31:S31" si="9">E31*P19</f>
        <v>13921.320000000002</v>
      </c>
      <c r="Q31" s="28">
        <f t="shared" si="9"/>
        <v>13140.119999999999</v>
      </c>
      <c r="R31" s="28">
        <f t="shared" si="9"/>
        <v>13671.48</v>
      </c>
      <c r="S31" s="29">
        <f t="shared" si="9"/>
        <v>14216.64</v>
      </c>
    </row>
    <row r="32" spans="2:19" s="15" customFormat="1" x14ac:dyDescent="0.25">
      <c r="B32" s="83" t="s">
        <v>105</v>
      </c>
      <c r="C32" s="113" t="s">
        <v>110</v>
      </c>
      <c r="D32" s="102">
        <v>0.3</v>
      </c>
      <c r="E32" s="102">
        <v>0.25</v>
      </c>
      <c r="F32" s="102">
        <v>0.25</v>
      </c>
      <c r="G32" s="102">
        <v>0.25</v>
      </c>
      <c r="H32" s="102">
        <v>0.25</v>
      </c>
      <c r="I32" s="18"/>
      <c r="J32" s="114" t="s">
        <v>104</v>
      </c>
      <c r="K32" s="28">
        <f>'Historic P&amp;L'!C30</f>
        <v>15000</v>
      </c>
      <c r="L32" s="28">
        <f>'Historic P&amp;L'!D30</f>
        <v>16500</v>
      </c>
      <c r="M32" s="28">
        <f>'Historic P&amp;L'!E30</f>
        <v>18000</v>
      </c>
      <c r="N32" s="28"/>
      <c r="O32" s="28">
        <f>D32*O20</f>
        <v>9855</v>
      </c>
      <c r="P32" s="28">
        <f>E32*P20</f>
        <v>11121.09375</v>
      </c>
      <c r="Q32" s="28">
        <f>F32*Q20</f>
        <v>18149.625</v>
      </c>
      <c r="R32" s="28">
        <f>G32*R20</f>
        <v>19956.375</v>
      </c>
      <c r="S32" s="29">
        <f>H32*S20</f>
        <v>20383.424999999999</v>
      </c>
    </row>
    <row r="33" spans="2:19" s="15" customFormat="1" x14ac:dyDescent="0.25">
      <c r="B33" s="16"/>
      <c r="C33" s="103" t="s">
        <v>27</v>
      </c>
      <c r="D33" s="104"/>
      <c r="E33" s="104"/>
      <c r="F33" s="104"/>
      <c r="G33" s="104"/>
      <c r="H33" s="104"/>
      <c r="I33" s="18"/>
      <c r="J33" s="105" t="s">
        <v>27</v>
      </c>
      <c r="K33" s="104">
        <f>SUM(K24:K32)</f>
        <v>1107480.4087499999</v>
      </c>
      <c r="L33" s="104">
        <f t="shared" ref="L33:M33" si="10">SUM(L24:L32)</f>
        <v>1131093.7064</v>
      </c>
      <c r="M33" s="104">
        <f t="shared" si="10"/>
        <v>1156272.7737500002</v>
      </c>
      <c r="N33" s="104"/>
      <c r="O33" s="104">
        <f t="shared" ref="O33" si="11">SUM(O24:O32)</f>
        <v>922148.75</v>
      </c>
      <c r="P33" s="104">
        <f t="shared" ref="P33" si="12">SUM(P24:P32)</f>
        <v>1449281.3512500001</v>
      </c>
      <c r="Q33" s="104">
        <f t="shared" ref="Q33" si="13">SUM(Q24:Q32)</f>
        <v>1551535.2450000001</v>
      </c>
      <c r="R33" s="104">
        <f t="shared" ref="R33" si="14">SUM(R24:R32)</f>
        <v>1662965.105</v>
      </c>
      <c r="S33" s="106">
        <f t="shared" ref="S33" si="15">SUM(S24:S32)</f>
        <v>1717956.0649999999</v>
      </c>
    </row>
    <row r="34" spans="2:19" s="15" customFormat="1" x14ac:dyDescent="0.25">
      <c r="B34" s="16"/>
      <c r="C34" s="107"/>
      <c r="D34" s="117"/>
      <c r="E34" s="28"/>
      <c r="F34" s="28"/>
      <c r="G34" s="28"/>
      <c r="H34" s="28"/>
      <c r="I34" s="18"/>
      <c r="J34" s="108"/>
      <c r="K34" s="107"/>
      <c r="L34" s="107"/>
      <c r="M34" s="107"/>
      <c r="N34" s="107"/>
      <c r="O34" s="117"/>
      <c r="P34" s="28"/>
      <c r="Q34" s="28"/>
      <c r="R34" s="28"/>
      <c r="S34" s="29"/>
    </row>
    <row r="35" spans="2:19" s="15" customFormat="1" x14ac:dyDescent="0.25">
      <c r="B35" s="16"/>
      <c r="C35" s="110" t="s">
        <v>28</v>
      </c>
      <c r="D35" s="95"/>
      <c r="E35" s="118"/>
      <c r="F35" s="118"/>
      <c r="G35" s="118"/>
      <c r="H35" s="118"/>
      <c r="I35" s="18"/>
      <c r="J35" s="111" t="s">
        <v>28</v>
      </c>
      <c r="K35" s="110"/>
      <c r="L35" s="110"/>
      <c r="M35" s="110"/>
      <c r="N35" s="110"/>
      <c r="O35" s="95"/>
      <c r="P35" s="118"/>
      <c r="Q35" s="118"/>
      <c r="R35" s="118"/>
      <c r="S35" s="119"/>
    </row>
    <row r="36" spans="2:19" s="15" customFormat="1" x14ac:dyDescent="0.25">
      <c r="B36" s="83" t="s">
        <v>47</v>
      </c>
      <c r="C36" s="107" t="s">
        <v>55</v>
      </c>
      <c r="D36" s="112">
        <v>0.08</v>
      </c>
      <c r="E36" s="112">
        <v>0.13</v>
      </c>
      <c r="F36" s="112">
        <v>0.14000000000000001</v>
      </c>
      <c r="G36" s="112">
        <v>0.14000000000000001</v>
      </c>
      <c r="H36" s="112">
        <v>0.14000000000000001</v>
      </c>
      <c r="I36" s="18"/>
      <c r="J36" s="108" t="s">
        <v>55</v>
      </c>
      <c r="K36" s="28">
        <f>'Historic P&amp;L'!C34</f>
        <v>414184.06874999998</v>
      </c>
      <c r="L36" s="28">
        <f>'Historic P&amp;L'!D34</f>
        <v>420892.11600000004</v>
      </c>
      <c r="M36" s="28">
        <f>'Historic P&amp;L'!E34</f>
        <v>428357.79375000001</v>
      </c>
      <c r="N36" s="28"/>
      <c r="O36" s="28">
        <f>D36*O21</f>
        <v>190678</v>
      </c>
      <c r="P36" s="28">
        <f>E36*P21</f>
        <v>428961.53625</v>
      </c>
      <c r="Q36" s="28">
        <f>F36*Q21</f>
        <v>514640.07000000007</v>
      </c>
      <c r="R36" s="28">
        <f>G36*R21</f>
        <v>557005.19000000006</v>
      </c>
      <c r="S36" s="29">
        <f>H36*S21</f>
        <v>572875.47800000012</v>
      </c>
    </row>
    <row r="37" spans="2:19" s="15" customFormat="1" x14ac:dyDescent="0.25">
      <c r="B37" s="83" t="s">
        <v>47</v>
      </c>
      <c r="C37" s="113" t="s">
        <v>2</v>
      </c>
      <c r="D37" s="112">
        <v>0.05</v>
      </c>
      <c r="E37" s="112">
        <v>5.5E-2</v>
      </c>
      <c r="F37" s="112">
        <v>0.05</v>
      </c>
      <c r="G37" s="112">
        <v>0.05</v>
      </c>
      <c r="H37" s="112">
        <v>0.05</v>
      </c>
      <c r="I37" s="18"/>
      <c r="J37" s="114" t="s">
        <v>2</v>
      </c>
      <c r="K37" s="28">
        <f>'Historic P&amp;L'!C35</f>
        <v>138061.35625000001</v>
      </c>
      <c r="L37" s="28">
        <f>'Historic P&amp;L'!D35</f>
        <v>140297.37200000003</v>
      </c>
      <c r="M37" s="28">
        <f>'Historic P&amp;L'!E35</f>
        <v>142785.93124999999</v>
      </c>
      <c r="N37" s="28"/>
      <c r="O37" s="28">
        <f>D37*O21</f>
        <v>119173.75</v>
      </c>
      <c r="P37" s="28">
        <f>E37*P21</f>
        <v>181483.72687499999</v>
      </c>
      <c r="Q37" s="28">
        <f>F37*Q21</f>
        <v>183800.02500000002</v>
      </c>
      <c r="R37" s="28">
        <f>G37*R21</f>
        <v>198930.42500000002</v>
      </c>
      <c r="S37" s="29">
        <f>H37*S21</f>
        <v>204598.38500000001</v>
      </c>
    </row>
    <row r="38" spans="2:19" s="15" customFormat="1" x14ac:dyDescent="0.25">
      <c r="B38" s="83" t="s">
        <v>47</v>
      </c>
      <c r="C38" s="18" t="s">
        <v>3</v>
      </c>
      <c r="D38" s="112">
        <v>0.03</v>
      </c>
      <c r="E38" s="112">
        <v>0.03</v>
      </c>
      <c r="F38" s="112">
        <v>0.03</v>
      </c>
      <c r="G38" s="112">
        <v>0.03</v>
      </c>
      <c r="H38" s="112">
        <v>0.03</v>
      </c>
      <c r="I38" s="18"/>
      <c r="J38" s="16" t="s">
        <v>3</v>
      </c>
      <c r="K38" s="28">
        <f>'Historic P&amp;L'!C36</f>
        <v>82836.813750000001</v>
      </c>
      <c r="L38" s="28">
        <f>'Historic P&amp;L'!D36</f>
        <v>84178.423200000005</v>
      </c>
      <c r="M38" s="28">
        <f>'Historic P&amp;L'!E36</f>
        <v>85671.558749999997</v>
      </c>
      <c r="N38" s="28"/>
      <c r="O38" s="28">
        <f>D38*O21</f>
        <v>71504.25</v>
      </c>
      <c r="P38" s="28">
        <f>E38*P21</f>
        <v>98991.123749999999</v>
      </c>
      <c r="Q38" s="28">
        <f>F38*Q21</f>
        <v>110280.015</v>
      </c>
      <c r="R38" s="28">
        <f>G38*R21</f>
        <v>119358.25499999999</v>
      </c>
      <c r="S38" s="29">
        <f>H38*S21</f>
        <v>122759.031</v>
      </c>
    </row>
    <row r="39" spans="2:19" s="15" customFormat="1" x14ac:dyDescent="0.25">
      <c r="B39" s="83" t="s">
        <v>47</v>
      </c>
      <c r="C39" s="18" t="s">
        <v>4</v>
      </c>
      <c r="D39" s="112">
        <v>0.03</v>
      </c>
      <c r="E39" s="112">
        <v>0.03</v>
      </c>
      <c r="F39" s="112">
        <v>0.03</v>
      </c>
      <c r="G39" s="112">
        <v>0.03</v>
      </c>
      <c r="H39" s="112">
        <v>0.03</v>
      </c>
      <c r="I39" s="18"/>
      <c r="J39" s="16" t="s">
        <v>4</v>
      </c>
      <c r="K39" s="28">
        <f>'Historic P&amp;L'!C37</f>
        <v>110449.08500000001</v>
      </c>
      <c r="L39" s="28">
        <f>'Historic P&amp;L'!D37</f>
        <v>112237.89760000003</v>
      </c>
      <c r="M39" s="28">
        <f>'Historic P&amp;L'!E37</f>
        <v>114228.745</v>
      </c>
      <c r="N39" s="28"/>
      <c r="O39" s="28">
        <f>D39*O21</f>
        <v>71504.25</v>
      </c>
      <c r="P39" s="28">
        <f>E39*P21</f>
        <v>98991.123749999999</v>
      </c>
      <c r="Q39" s="28">
        <f>F39*Q21</f>
        <v>110280.015</v>
      </c>
      <c r="R39" s="28">
        <f>G39*R21</f>
        <v>119358.25499999999</v>
      </c>
      <c r="S39" s="29">
        <f>H39*S21</f>
        <v>122759.031</v>
      </c>
    </row>
    <row r="40" spans="2:19" s="15" customFormat="1" x14ac:dyDescent="0.25">
      <c r="B40" s="83" t="s">
        <v>47</v>
      </c>
      <c r="C40" s="18" t="s">
        <v>5</v>
      </c>
      <c r="D40" s="102">
        <v>0.05</v>
      </c>
      <c r="E40" s="102">
        <v>0.05</v>
      </c>
      <c r="F40" s="102">
        <v>0.05</v>
      </c>
      <c r="G40" s="102">
        <v>0.05</v>
      </c>
      <c r="H40" s="102">
        <v>0.05</v>
      </c>
      <c r="I40" s="18"/>
      <c r="J40" s="16" t="s">
        <v>5</v>
      </c>
      <c r="K40" s="28">
        <f>'Historic P&amp;L'!C38</f>
        <v>138061.35625000001</v>
      </c>
      <c r="L40" s="28">
        <f>'Historic P&amp;L'!D38</f>
        <v>140297.37200000003</v>
      </c>
      <c r="M40" s="28">
        <f>'Historic P&amp;L'!E38</f>
        <v>142785.93124999999</v>
      </c>
      <c r="N40" s="28"/>
      <c r="O40" s="28">
        <f>D40*O21</f>
        <v>119173.75</v>
      </c>
      <c r="P40" s="28">
        <f>E40*P21</f>
        <v>164985.20625000002</v>
      </c>
      <c r="Q40" s="28">
        <f>F40*Q21</f>
        <v>183800.02500000002</v>
      </c>
      <c r="R40" s="28">
        <f>G40*R21</f>
        <v>198930.42500000002</v>
      </c>
      <c r="S40" s="29">
        <f>H40*S21</f>
        <v>204598.38500000001</v>
      </c>
    </row>
    <row r="41" spans="2:19" s="15" customFormat="1" x14ac:dyDescent="0.25">
      <c r="B41" s="16"/>
      <c r="C41" s="103" t="s">
        <v>29</v>
      </c>
      <c r="D41" s="104"/>
      <c r="E41" s="104"/>
      <c r="F41" s="104"/>
      <c r="G41" s="104"/>
      <c r="H41" s="104"/>
      <c r="I41" s="18"/>
      <c r="J41" s="105" t="s">
        <v>29</v>
      </c>
      <c r="K41" s="104">
        <f t="shared" ref="K41:M41" si="16">SUM(K36:K40)</f>
        <v>883592.67999999993</v>
      </c>
      <c r="L41" s="104">
        <f t="shared" si="16"/>
        <v>897903.18080000021</v>
      </c>
      <c r="M41" s="104">
        <f t="shared" si="16"/>
        <v>913829.96</v>
      </c>
      <c r="N41" s="104"/>
      <c r="O41" s="104">
        <f>SUM(O36:O40)</f>
        <v>572034</v>
      </c>
      <c r="P41" s="104">
        <f t="shared" ref="P41:S41" si="17">SUM(P36:P40)</f>
        <v>973412.71687500016</v>
      </c>
      <c r="Q41" s="104">
        <f t="shared" si="17"/>
        <v>1102800.1500000001</v>
      </c>
      <c r="R41" s="104">
        <f t="shared" si="17"/>
        <v>1193582.55</v>
      </c>
      <c r="S41" s="106">
        <f t="shared" si="17"/>
        <v>1227590.31</v>
      </c>
    </row>
    <row r="42" spans="2:19" s="15" customFormat="1" x14ac:dyDescent="0.25">
      <c r="B42" s="16"/>
      <c r="C42" s="18"/>
      <c r="D42" s="99"/>
      <c r="E42" s="120"/>
      <c r="F42" s="120"/>
      <c r="G42" s="120"/>
      <c r="H42" s="120"/>
      <c r="I42" s="18"/>
      <c r="J42" s="16"/>
      <c r="K42" s="18"/>
      <c r="L42" s="18"/>
      <c r="M42" s="18"/>
      <c r="N42" s="18"/>
      <c r="O42" s="99"/>
      <c r="P42" s="120"/>
      <c r="Q42" s="120"/>
      <c r="R42" s="120"/>
      <c r="S42" s="121"/>
    </row>
    <row r="43" spans="2:19" s="15" customFormat="1" x14ac:dyDescent="0.25">
      <c r="B43" s="16"/>
      <c r="C43" s="122" t="s">
        <v>31</v>
      </c>
      <c r="D43" s="99">
        <f>D21-D33-D41</f>
        <v>0</v>
      </c>
      <c r="E43" s="99">
        <f t="shared" ref="E43:H43" si="18">E21-E33-E41</f>
        <v>0</v>
      </c>
      <c r="F43" s="99">
        <f t="shared" si="18"/>
        <v>0</v>
      </c>
      <c r="G43" s="99">
        <f t="shared" si="18"/>
        <v>0</v>
      </c>
      <c r="H43" s="99">
        <f t="shared" si="18"/>
        <v>0</v>
      </c>
      <c r="I43" s="18"/>
      <c r="J43" s="27" t="s">
        <v>31</v>
      </c>
      <c r="K43" s="99">
        <f t="shared" ref="K43:M43" si="19">K21-K33-K41</f>
        <v>770154.03625000012</v>
      </c>
      <c r="L43" s="99">
        <f t="shared" si="19"/>
        <v>776950.55280000018</v>
      </c>
      <c r="M43" s="99">
        <f t="shared" si="19"/>
        <v>785615.89124999987</v>
      </c>
      <c r="N43" s="99"/>
      <c r="O43" s="99">
        <f>O21-O33-O41</f>
        <v>889292.25</v>
      </c>
      <c r="P43" s="99">
        <f t="shared" ref="P43:S43" si="20">P21-P33-P41</f>
        <v>877010.05687499978</v>
      </c>
      <c r="Q43" s="99">
        <f t="shared" si="20"/>
        <v>1021665.1049999997</v>
      </c>
      <c r="R43" s="99">
        <f t="shared" si="20"/>
        <v>1122060.845</v>
      </c>
      <c r="S43" s="101">
        <f t="shared" si="20"/>
        <v>1146421.3250000002</v>
      </c>
    </row>
    <row r="44" spans="2:19" s="15" customFormat="1" x14ac:dyDescent="0.25">
      <c r="B44" s="16"/>
      <c r="C44" s="18"/>
      <c r="D44" s="99"/>
      <c r="E44" s="120"/>
      <c r="F44" s="120"/>
      <c r="G44" s="120"/>
      <c r="H44" s="120"/>
      <c r="I44" s="18"/>
      <c r="J44" s="16"/>
      <c r="K44" s="18"/>
      <c r="L44" s="18"/>
      <c r="M44" s="18"/>
      <c r="N44" s="18"/>
      <c r="O44" s="99"/>
      <c r="P44" s="120"/>
      <c r="Q44" s="120"/>
      <c r="R44" s="120"/>
      <c r="S44" s="121"/>
    </row>
    <row r="45" spans="2:19" s="15" customFormat="1" x14ac:dyDescent="0.25">
      <c r="B45" s="16"/>
      <c r="C45" s="122" t="s">
        <v>30</v>
      </c>
      <c r="D45" s="99"/>
      <c r="E45" s="120"/>
      <c r="F45" s="120"/>
      <c r="G45" s="120"/>
      <c r="H45" s="120"/>
      <c r="I45" s="18"/>
      <c r="J45" s="27" t="s">
        <v>30</v>
      </c>
      <c r="K45" s="18"/>
      <c r="L45" s="18"/>
      <c r="M45" s="18"/>
      <c r="N45" s="18"/>
      <c r="O45" s="99"/>
      <c r="P45" s="120"/>
      <c r="Q45" s="120"/>
      <c r="R45" s="120"/>
      <c r="S45" s="121"/>
    </row>
    <row r="46" spans="2:19" s="15" customFormat="1" x14ac:dyDescent="0.25">
      <c r="B46" s="83" t="s">
        <v>48</v>
      </c>
      <c r="C46" s="18" t="s">
        <v>33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8"/>
      <c r="J46" s="16" t="s">
        <v>33</v>
      </c>
      <c r="K46" s="99">
        <f>'Historic P&amp;L'!C44</f>
        <v>0</v>
      </c>
      <c r="L46" s="99">
        <f>'Historic P&amp;L'!D44</f>
        <v>0</v>
      </c>
      <c r="M46" s="99">
        <f>'Historic P&amp;L'!E44</f>
        <v>0</v>
      </c>
      <c r="N46" s="99"/>
      <c r="O46" s="99">
        <f>D46</f>
        <v>0</v>
      </c>
      <c r="P46" s="99">
        <f>E46</f>
        <v>0</v>
      </c>
      <c r="Q46" s="99">
        <f>F46</f>
        <v>0</v>
      </c>
      <c r="R46" s="99">
        <f>G46</f>
        <v>0</v>
      </c>
      <c r="S46" s="101">
        <f>H46</f>
        <v>0</v>
      </c>
    </row>
    <row r="47" spans="2:19" s="15" customFormat="1" x14ac:dyDescent="0.25">
      <c r="B47" s="83" t="s">
        <v>47</v>
      </c>
      <c r="C47" s="18" t="s">
        <v>34</v>
      </c>
      <c r="D47" s="112">
        <v>1.4999999999999999E-2</v>
      </c>
      <c r="E47" s="112">
        <v>1.4999999999999999E-2</v>
      </c>
      <c r="F47" s="112">
        <v>1.4999999999999999E-2</v>
      </c>
      <c r="G47" s="112">
        <v>1.4999999999999999E-2</v>
      </c>
      <c r="H47" s="112">
        <v>1.4999999999999999E-2</v>
      </c>
      <c r="I47" s="18"/>
      <c r="J47" s="16" t="s">
        <v>34</v>
      </c>
      <c r="K47" s="99">
        <f>'Historic P&amp;L'!C45</f>
        <v>35000</v>
      </c>
      <c r="L47" s="99">
        <f>'Historic P&amp;L'!D45</f>
        <v>35000</v>
      </c>
      <c r="M47" s="99">
        <f>'Historic P&amp;L'!E45</f>
        <v>35000</v>
      </c>
      <c r="N47" s="99"/>
      <c r="O47" s="99">
        <f>D47*O21</f>
        <v>35752.125</v>
      </c>
      <c r="P47" s="99">
        <f>E47*P21</f>
        <v>49495.561874999999</v>
      </c>
      <c r="Q47" s="99">
        <f>F47*Q21</f>
        <v>55140.0075</v>
      </c>
      <c r="R47" s="99">
        <f>G47*R21</f>
        <v>59679.127499999995</v>
      </c>
      <c r="S47" s="101">
        <f>H47*S21</f>
        <v>61379.515500000001</v>
      </c>
    </row>
    <row r="48" spans="2:19" s="15" customFormat="1" x14ac:dyDescent="0.25">
      <c r="B48" s="83" t="s">
        <v>49</v>
      </c>
      <c r="C48" s="18" t="s">
        <v>35</v>
      </c>
      <c r="D48" s="123">
        <v>800</v>
      </c>
      <c r="E48" s="123">
        <v>800</v>
      </c>
      <c r="F48" s="123">
        <v>800</v>
      </c>
      <c r="G48" s="123">
        <v>825</v>
      </c>
      <c r="H48" s="123">
        <v>825</v>
      </c>
      <c r="I48" s="18"/>
      <c r="J48" s="16" t="s">
        <v>35</v>
      </c>
      <c r="K48" s="99">
        <f>'Historic P&amp;L'!C46</f>
        <v>40000</v>
      </c>
      <c r="L48" s="99">
        <f>'Historic P&amp;L'!D46</f>
        <v>40000</v>
      </c>
      <c r="M48" s="99">
        <f>'Historic P&amp;L'!E46</f>
        <v>40000</v>
      </c>
      <c r="N48" s="99"/>
      <c r="O48" s="99">
        <f>D48*$C$5</f>
        <v>60000</v>
      </c>
      <c r="P48" s="99">
        <f>E48*$C$5</f>
        <v>60000</v>
      </c>
      <c r="Q48" s="99">
        <f>F48*$C$5</f>
        <v>60000</v>
      </c>
      <c r="R48" s="99">
        <f>G48*$C$5</f>
        <v>61875</v>
      </c>
      <c r="S48" s="101">
        <f>H48*$C$5</f>
        <v>61875</v>
      </c>
    </row>
    <row r="49" spans="2:19" s="15" customFormat="1" x14ac:dyDescent="0.25">
      <c r="B49" s="16"/>
      <c r="C49" s="103" t="s">
        <v>36</v>
      </c>
      <c r="D49" s="104"/>
      <c r="E49" s="104"/>
      <c r="F49" s="104"/>
      <c r="G49" s="104"/>
      <c r="H49" s="104"/>
      <c r="I49" s="18"/>
      <c r="J49" s="105" t="s">
        <v>36</v>
      </c>
      <c r="K49" s="104">
        <f t="shared" ref="K49:M49" si="21">SUM(K46:K48)</f>
        <v>75000</v>
      </c>
      <c r="L49" s="104">
        <f t="shared" si="21"/>
        <v>75000</v>
      </c>
      <c r="M49" s="104">
        <f t="shared" si="21"/>
        <v>75000</v>
      </c>
      <c r="N49" s="104"/>
      <c r="O49" s="104">
        <f>SUM(O46:O48)</f>
        <v>95752.125</v>
      </c>
      <c r="P49" s="104">
        <f t="shared" ref="P49:S49" si="22">SUM(P46:P48)</f>
        <v>109495.561875</v>
      </c>
      <c r="Q49" s="104">
        <f t="shared" si="22"/>
        <v>115140.00750000001</v>
      </c>
      <c r="R49" s="104">
        <f t="shared" si="22"/>
        <v>121554.1275</v>
      </c>
      <c r="S49" s="106">
        <f t="shared" si="22"/>
        <v>123254.51550000001</v>
      </c>
    </row>
    <row r="50" spans="2:19" s="15" customFormat="1" x14ac:dyDescent="0.25">
      <c r="B50" s="16"/>
      <c r="C50" s="107"/>
      <c r="D50" s="124"/>
      <c r="E50" s="124"/>
      <c r="F50" s="124"/>
      <c r="G50" s="124"/>
      <c r="H50" s="124"/>
      <c r="I50" s="18"/>
      <c r="J50" s="108"/>
      <c r="K50" s="107"/>
      <c r="L50" s="107"/>
      <c r="M50" s="107"/>
      <c r="N50" s="107"/>
      <c r="O50" s="124"/>
      <c r="P50" s="124"/>
      <c r="Q50" s="124"/>
      <c r="R50" s="124"/>
      <c r="S50" s="125"/>
    </row>
    <row r="51" spans="2:19" s="15" customFormat="1" x14ac:dyDescent="0.25">
      <c r="B51" s="16"/>
      <c r="C51" s="94"/>
      <c r="D51" s="126"/>
      <c r="E51" s="126"/>
      <c r="F51" s="126"/>
      <c r="G51" s="126"/>
      <c r="H51" s="126"/>
      <c r="I51" s="18"/>
      <c r="J51" s="105" t="s">
        <v>6</v>
      </c>
      <c r="K51" s="104">
        <f t="shared" ref="K51:M51" si="23">K43-K49</f>
        <v>695154.03625000012</v>
      </c>
      <c r="L51" s="104">
        <f t="shared" si="23"/>
        <v>701950.55280000018</v>
      </c>
      <c r="M51" s="104">
        <f t="shared" si="23"/>
        <v>710615.89124999987</v>
      </c>
      <c r="N51" s="104"/>
      <c r="O51" s="104">
        <f>O43-O49</f>
        <v>793540.125</v>
      </c>
      <c r="P51" s="104">
        <f t="shared" ref="P51:S51" si="24">P43-P49</f>
        <v>767514.49499999976</v>
      </c>
      <c r="Q51" s="104">
        <f t="shared" si="24"/>
        <v>906525.09749999968</v>
      </c>
      <c r="R51" s="104">
        <f t="shared" si="24"/>
        <v>1000506.7175</v>
      </c>
      <c r="S51" s="106">
        <f t="shared" si="24"/>
        <v>1023166.8095000002</v>
      </c>
    </row>
    <row r="52" spans="2:19" s="15" customFormat="1" x14ac:dyDescent="0.25">
      <c r="B52" s="16"/>
      <c r="C52" s="94"/>
      <c r="D52" s="127"/>
      <c r="E52" s="127"/>
      <c r="F52" s="127"/>
      <c r="G52" s="127"/>
      <c r="H52" s="127"/>
      <c r="I52" s="18"/>
      <c r="J52" s="111" t="s">
        <v>7</v>
      </c>
      <c r="K52" s="127">
        <f t="shared" ref="K52:M52" si="25">K51/K21</f>
        <v>0.25175547131060438</v>
      </c>
      <c r="L52" s="127">
        <f t="shared" si="25"/>
        <v>0.25016525355870534</v>
      </c>
      <c r="M52" s="127">
        <f t="shared" si="25"/>
        <v>0.24883960381425879</v>
      </c>
      <c r="N52" s="127"/>
      <c r="O52" s="127">
        <f>O51/O21</f>
        <v>0.33293410881171398</v>
      </c>
      <c r="P52" s="127">
        <f t="shared" ref="P52:S52" si="26">P51/P21</f>
        <v>0.23260100479463436</v>
      </c>
      <c r="Q52" s="127">
        <f t="shared" si="26"/>
        <v>0.24660635859543537</v>
      </c>
      <c r="R52" s="127">
        <f t="shared" si="26"/>
        <v>0.25147151761727748</v>
      </c>
      <c r="S52" s="128">
        <f t="shared" si="26"/>
        <v>0.25004273848495923</v>
      </c>
    </row>
    <row r="53" spans="2:19" s="15" customFormat="1" x14ac:dyDescent="0.25">
      <c r="B53" s="16"/>
      <c r="C53" s="18"/>
      <c r="D53" s="18"/>
      <c r="E53" s="18"/>
      <c r="F53" s="18"/>
      <c r="G53" s="18"/>
      <c r="H53" s="18"/>
      <c r="I53" s="18"/>
      <c r="J53" s="16"/>
      <c r="K53" s="18"/>
      <c r="L53" s="18"/>
      <c r="M53" s="18"/>
      <c r="N53" s="18"/>
      <c r="O53" s="18"/>
      <c r="P53" s="18"/>
      <c r="Q53" s="18"/>
      <c r="R53" s="18"/>
      <c r="S53" s="19"/>
    </row>
    <row r="54" spans="2:19" s="15" customFormat="1" x14ac:dyDescent="0.25">
      <c r="B54" s="16"/>
      <c r="C54" s="49" t="str">
        <f>C8</f>
        <v>HOTEL ABC</v>
      </c>
      <c r="D54" s="25">
        <f>D8</f>
        <v>2021</v>
      </c>
      <c r="E54" s="25">
        <f t="shared" ref="E54:H54" si="27">E8</f>
        <v>2022</v>
      </c>
      <c r="F54" s="25">
        <f t="shared" si="27"/>
        <v>2023</v>
      </c>
      <c r="G54" s="25">
        <f t="shared" si="27"/>
        <v>2024</v>
      </c>
      <c r="H54" s="25">
        <f t="shared" si="27"/>
        <v>2025</v>
      </c>
      <c r="I54" s="18"/>
      <c r="J54" s="48" t="s">
        <v>53</v>
      </c>
      <c r="K54" s="25">
        <f>K8</f>
        <v>2017</v>
      </c>
      <c r="L54" s="25">
        <f t="shared" ref="L54:S54" si="28">L8</f>
        <v>2018</v>
      </c>
      <c r="M54" s="25">
        <f t="shared" si="28"/>
        <v>2019</v>
      </c>
      <c r="N54" s="25"/>
      <c r="O54" s="25">
        <f t="shared" si="28"/>
        <v>2021</v>
      </c>
      <c r="P54" s="25">
        <f t="shared" si="28"/>
        <v>2022</v>
      </c>
      <c r="Q54" s="25">
        <f t="shared" si="28"/>
        <v>2023</v>
      </c>
      <c r="R54" s="25">
        <f t="shared" si="28"/>
        <v>2024</v>
      </c>
      <c r="S54" s="26">
        <f t="shared" si="28"/>
        <v>2025</v>
      </c>
    </row>
    <row r="55" spans="2:19" s="15" customFormat="1" x14ac:dyDescent="0.25">
      <c r="B55" s="16"/>
      <c r="C55" s="122" t="s">
        <v>37</v>
      </c>
      <c r="D55" s="18"/>
      <c r="E55" s="18"/>
      <c r="F55" s="18"/>
      <c r="G55" s="18"/>
      <c r="H55" s="18"/>
      <c r="I55" s="18"/>
      <c r="J55" s="16" t="s">
        <v>58</v>
      </c>
      <c r="K55" s="129">
        <f t="shared" ref="K55:M57" si="29">K11</f>
        <v>0.78</v>
      </c>
      <c r="L55" s="129">
        <f t="shared" si="29"/>
        <v>0.72</v>
      </c>
      <c r="M55" s="129">
        <f t="shared" si="29"/>
        <v>0.73</v>
      </c>
      <c r="N55" s="129"/>
      <c r="O55" s="129">
        <f>O11</f>
        <v>0.5</v>
      </c>
      <c r="P55" s="129">
        <f t="shared" ref="P55:S55" si="30">P11</f>
        <v>0.65</v>
      </c>
      <c r="Q55" s="129">
        <f t="shared" si="30"/>
        <v>0.68</v>
      </c>
      <c r="R55" s="129">
        <f t="shared" si="30"/>
        <v>0.72</v>
      </c>
      <c r="S55" s="130">
        <f t="shared" si="30"/>
        <v>0.73</v>
      </c>
    </row>
    <row r="56" spans="2:19" s="15" customFormat="1" x14ac:dyDescent="0.25">
      <c r="B56" s="16"/>
      <c r="C56" s="18" t="s">
        <v>39</v>
      </c>
      <c r="D56" s="131">
        <v>365</v>
      </c>
      <c r="E56" s="131">
        <v>365</v>
      </c>
      <c r="F56" s="131">
        <v>365</v>
      </c>
      <c r="G56" s="131">
        <v>365</v>
      </c>
      <c r="H56" s="131">
        <v>365</v>
      </c>
      <c r="I56" s="18"/>
      <c r="J56" s="16" t="s">
        <v>59</v>
      </c>
      <c r="K56" s="132">
        <f t="shared" si="29"/>
        <v>125.25</v>
      </c>
      <c r="L56" s="132">
        <f t="shared" si="29"/>
        <v>136.36000000000001</v>
      </c>
      <c r="M56" s="132">
        <f t="shared" si="29"/>
        <v>135.5</v>
      </c>
      <c r="N56" s="132"/>
      <c r="O56" s="132">
        <f>O12</f>
        <v>120</v>
      </c>
      <c r="P56" s="132">
        <f t="shared" ref="P56:S57" si="31">P12</f>
        <v>125</v>
      </c>
      <c r="Q56" s="132">
        <f t="shared" si="31"/>
        <v>130</v>
      </c>
      <c r="R56" s="132">
        <f t="shared" si="31"/>
        <v>135</v>
      </c>
      <c r="S56" s="133">
        <f t="shared" si="31"/>
        <v>136</v>
      </c>
    </row>
    <row r="57" spans="2:19" s="15" customFormat="1" x14ac:dyDescent="0.25">
      <c r="B57" s="16"/>
      <c r="C57" s="18" t="s">
        <v>50</v>
      </c>
      <c r="D57" s="123">
        <v>900</v>
      </c>
      <c r="E57" s="123">
        <v>980</v>
      </c>
      <c r="F57" s="123">
        <v>1000</v>
      </c>
      <c r="G57" s="123">
        <v>1100</v>
      </c>
      <c r="H57" s="123">
        <v>1200</v>
      </c>
      <c r="I57" s="18"/>
      <c r="J57" s="16" t="s">
        <v>16</v>
      </c>
      <c r="K57" s="132">
        <f t="shared" si="29"/>
        <v>97.695000000000007</v>
      </c>
      <c r="L57" s="132">
        <f t="shared" si="29"/>
        <v>98.179200000000009</v>
      </c>
      <c r="M57" s="132">
        <f t="shared" si="29"/>
        <v>98.914999999999992</v>
      </c>
      <c r="N57" s="132"/>
      <c r="O57" s="132">
        <f>O13</f>
        <v>60</v>
      </c>
      <c r="P57" s="132">
        <f t="shared" si="31"/>
        <v>81.25</v>
      </c>
      <c r="Q57" s="132">
        <f t="shared" si="31"/>
        <v>88.4</v>
      </c>
      <c r="R57" s="132">
        <f t="shared" si="31"/>
        <v>97.2</v>
      </c>
      <c r="S57" s="133">
        <f t="shared" si="31"/>
        <v>99.28</v>
      </c>
    </row>
    <row r="58" spans="2:19" s="15" customFormat="1" x14ac:dyDescent="0.25">
      <c r="B58" s="16"/>
      <c r="C58" s="18" t="s">
        <v>38</v>
      </c>
      <c r="D58" s="131">
        <v>50</v>
      </c>
      <c r="E58" s="131">
        <v>55</v>
      </c>
      <c r="F58" s="131">
        <v>60</v>
      </c>
      <c r="G58" s="131">
        <v>60</v>
      </c>
      <c r="H58" s="131">
        <v>60</v>
      </c>
      <c r="I58" s="18"/>
      <c r="J58" s="16" t="s">
        <v>60</v>
      </c>
      <c r="K58" s="132">
        <f>'Historic P&amp;L'!C56</f>
        <v>137.54556039850561</v>
      </c>
      <c r="L58" s="132">
        <f>'Historic P&amp;L'!D56</f>
        <v>139.77322241594024</v>
      </c>
      <c r="M58" s="132">
        <f>'Historic P&amp;L'!E56</f>
        <v>142.25248443337483</v>
      </c>
      <c r="N58" s="132"/>
      <c r="O58" s="132">
        <f>O21/($C$5*D56)</f>
        <v>87.067579908675796</v>
      </c>
      <c r="P58" s="132">
        <f>P21/($C$5*E56)</f>
        <v>120.53713698630138</v>
      </c>
      <c r="Q58" s="132">
        <f>Q21/($C$5*F56)</f>
        <v>134.28312328767123</v>
      </c>
      <c r="R58" s="132">
        <f>R21/($C$5*G56)</f>
        <v>145.33729680365298</v>
      </c>
      <c r="S58" s="133">
        <f>S21/($C$5*H56)</f>
        <v>149.47827214611874</v>
      </c>
    </row>
    <row r="59" spans="2:19" s="15" customFormat="1" x14ac:dyDescent="0.25">
      <c r="B59" s="16"/>
      <c r="C59" s="18" t="s">
        <v>40</v>
      </c>
      <c r="D59" s="131">
        <v>50</v>
      </c>
      <c r="E59" s="131">
        <v>100</v>
      </c>
      <c r="F59" s="131">
        <v>110</v>
      </c>
      <c r="G59" s="131">
        <v>110</v>
      </c>
      <c r="H59" s="131">
        <v>110</v>
      </c>
      <c r="I59" s="18"/>
      <c r="J59" s="16" t="s">
        <v>54</v>
      </c>
      <c r="K59" s="39">
        <f>K24+K26+K36+K29</f>
        <v>1034541.765</v>
      </c>
      <c r="L59" s="39">
        <f t="shared" ref="L59:R59" si="32">L24+L26+L36+L29</f>
        <v>1051191.0784</v>
      </c>
      <c r="M59" s="39">
        <f t="shared" si="32"/>
        <v>1069658.7050000001</v>
      </c>
      <c r="N59" s="39"/>
      <c r="O59" s="39">
        <f t="shared" si="32"/>
        <v>655484.25</v>
      </c>
      <c r="P59" s="39">
        <f t="shared" si="32"/>
        <v>1239888.3487499999</v>
      </c>
      <c r="Q59" s="39">
        <f t="shared" si="32"/>
        <v>1342715.57</v>
      </c>
      <c r="R59" s="39">
        <f t="shared" si="32"/>
        <v>1449162.19</v>
      </c>
      <c r="S59" s="40">
        <f t="shared" ref="S59" si="33">S24+S26+S36+S29</f>
        <v>1492379.4780000001</v>
      </c>
    </row>
    <row r="60" spans="2:19" s="15" customFormat="1" x14ac:dyDescent="0.25">
      <c r="B60" s="16"/>
      <c r="C60" s="18" t="s">
        <v>155</v>
      </c>
      <c r="D60" s="134">
        <v>40</v>
      </c>
      <c r="E60" s="134">
        <v>50</v>
      </c>
      <c r="F60" s="134">
        <v>55</v>
      </c>
      <c r="G60" s="134">
        <v>55</v>
      </c>
      <c r="H60" s="134">
        <v>55</v>
      </c>
      <c r="I60" s="18"/>
      <c r="J60" s="16" t="s">
        <v>56</v>
      </c>
      <c r="K60" s="135">
        <f t="shared" ref="K60:M60" si="34">K59/K21</f>
        <v>0.37466739176698477</v>
      </c>
      <c r="L60" s="135">
        <f t="shared" si="34"/>
        <v>0.37462963967707102</v>
      </c>
      <c r="M60" s="135">
        <f t="shared" si="34"/>
        <v>0.37456726150672498</v>
      </c>
      <c r="N60" s="135"/>
      <c r="O60" s="135">
        <f>O59/O21</f>
        <v>0.27501200977564272</v>
      </c>
      <c r="P60" s="135">
        <f t="shared" ref="P60:S60" si="35">P59/P21</f>
        <v>0.37575743211522028</v>
      </c>
      <c r="Q60" s="135">
        <f t="shared" si="35"/>
        <v>0.36526533932734778</v>
      </c>
      <c r="R60" s="135">
        <f t="shared" si="35"/>
        <v>0.36423844919649673</v>
      </c>
      <c r="S60" s="136">
        <f t="shared" si="35"/>
        <v>0.36470949611845666</v>
      </c>
    </row>
    <row r="61" spans="2:19" s="15" customFormat="1" x14ac:dyDescent="0.25">
      <c r="B61" s="16"/>
      <c r="C61" s="18" t="s">
        <v>157</v>
      </c>
      <c r="D61" s="39">
        <f>(D56*D57)</f>
        <v>328500</v>
      </c>
      <c r="E61" s="39">
        <f>(E56*E57)</f>
        <v>357700</v>
      </c>
      <c r="F61" s="39">
        <f>(F56*F57)</f>
        <v>365000</v>
      </c>
      <c r="G61" s="39">
        <f>(G56*G57)</f>
        <v>401500</v>
      </c>
      <c r="H61" s="39">
        <f>(H56*H57)</f>
        <v>438000</v>
      </c>
      <c r="I61" s="18"/>
      <c r="J61" s="16" t="s">
        <v>57</v>
      </c>
      <c r="K61" s="135">
        <f t="shared" ref="K61:M61" si="36">((K17+K18)-K27)/(K17+K18)</f>
        <v>0.69</v>
      </c>
      <c r="L61" s="135">
        <f t="shared" si="36"/>
        <v>0.69</v>
      </c>
      <c r="M61" s="135">
        <f t="shared" si="36"/>
        <v>0.69</v>
      </c>
      <c r="N61" s="135"/>
      <c r="O61" s="135">
        <f>((O17+O18)-O27)/(O17+O18)</f>
        <v>0.68</v>
      </c>
      <c r="P61" s="135">
        <f t="shared" ref="P61:S61" si="37">((P17+P18)-P27)/(P17+P18)</f>
        <v>0.69</v>
      </c>
      <c r="Q61" s="135">
        <f t="shared" si="37"/>
        <v>0.69</v>
      </c>
      <c r="R61" s="135">
        <f t="shared" si="37"/>
        <v>0.69</v>
      </c>
      <c r="S61" s="136">
        <f t="shared" si="37"/>
        <v>0.69</v>
      </c>
    </row>
    <row r="62" spans="2:19" s="15" customFormat="1" x14ac:dyDescent="0.25">
      <c r="B62" s="16"/>
      <c r="C62" s="18" t="s">
        <v>43</v>
      </c>
      <c r="D62" s="39">
        <f>D58*D59*D60</f>
        <v>100000</v>
      </c>
      <c r="E62" s="39">
        <f t="shared" ref="E62:H62" si="38">E58*E59*E60</f>
        <v>275000</v>
      </c>
      <c r="F62" s="39">
        <f t="shared" si="38"/>
        <v>363000</v>
      </c>
      <c r="G62" s="39">
        <f t="shared" si="38"/>
        <v>363000</v>
      </c>
      <c r="H62" s="39">
        <f t="shared" si="38"/>
        <v>363000</v>
      </c>
      <c r="I62" s="18"/>
      <c r="J62" s="16" t="s">
        <v>116</v>
      </c>
      <c r="K62" s="135">
        <f>(K21-K33)/K21</f>
        <v>0.59891730791613174</v>
      </c>
      <c r="L62" s="135">
        <f t="shared" ref="L62:S62" si="39">(L21-L33)/L21</f>
        <v>0.59689419328538817</v>
      </c>
      <c r="M62" s="135">
        <f t="shared" si="39"/>
        <v>0.59510269547301775</v>
      </c>
      <c r="N62" s="135"/>
      <c r="O62" s="135">
        <f t="shared" si="39"/>
        <v>0.61310743766978881</v>
      </c>
      <c r="P62" s="135">
        <f t="shared" si="39"/>
        <v>0.56078445328791404</v>
      </c>
      <c r="Q62" s="135">
        <f t="shared" si="39"/>
        <v>0.57792844560276857</v>
      </c>
      <c r="R62" s="135">
        <f t="shared" si="39"/>
        <v>0.58202343733996442</v>
      </c>
      <c r="S62" s="136">
        <f t="shared" si="39"/>
        <v>0.58016382558444934</v>
      </c>
    </row>
    <row r="63" spans="2:19" s="15" customFormat="1" x14ac:dyDescent="0.25">
      <c r="B63" s="16"/>
      <c r="C63" s="18"/>
      <c r="D63" s="18"/>
      <c r="E63" s="18"/>
      <c r="F63" s="18"/>
      <c r="G63" s="18"/>
      <c r="H63" s="18"/>
      <c r="I63" s="18"/>
      <c r="J63" s="16" t="s">
        <v>32</v>
      </c>
      <c r="K63" s="135">
        <f>K43/K21</f>
        <v>0.27891730791613173</v>
      </c>
      <c r="L63" s="135">
        <f>L43/L21</f>
        <v>0.27689419328538817</v>
      </c>
      <c r="M63" s="135">
        <f>M43/M21</f>
        <v>0.27510269547301769</v>
      </c>
      <c r="N63" s="135"/>
      <c r="O63" s="135">
        <f>O43/O21</f>
        <v>0.37310743766978888</v>
      </c>
      <c r="P63" s="135">
        <f>P43/P21</f>
        <v>0.26578445328791406</v>
      </c>
      <c r="Q63" s="135">
        <f>Q43/Q21</f>
        <v>0.27792844560276847</v>
      </c>
      <c r="R63" s="135">
        <f>R43/R21</f>
        <v>0.28202343733996443</v>
      </c>
      <c r="S63" s="136">
        <f>S43/S21</f>
        <v>0.2801638255844493</v>
      </c>
    </row>
    <row r="64" spans="2:19" s="15" customFormat="1" ht="15.75" thickBot="1" x14ac:dyDescent="0.3">
      <c r="B64" s="16"/>
      <c r="C64" s="122" t="s">
        <v>41</v>
      </c>
      <c r="D64" s="18"/>
      <c r="E64" s="18"/>
      <c r="F64" s="18"/>
      <c r="G64" s="18"/>
      <c r="H64" s="18"/>
      <c r="I64" s="18"/>
      <c r="J64" s="41" t="s">
        <v>61</v>
      </c>
      <c r="K64" s="137">
        <f>K51/K21</f>
        <v>0.25175547131060438</v>
      </c>
      <c r="L64" s="137">
        <f>L51/L21</f>
        <v>0.25016525355870534</v>
      </c>
      <c r="M64" s="137">
        <f>M51/M21</f>
        <v>0.24883960381425879</v>
      </c>
      <c r="N64" s="137"/>
      <c r="O64" s="137">
        <f>O51/O21</f>
        <v>0.33293410881171398</v>
      </c>
      <c r="P64" s="137">
        <f>P51/P21</f>
        <v>0.23260100479463436</v>
      </c>
      <c r="Q64" s="137">
        <f>Q51/Q21</f>
        <v>0.24660635859543537</v>
      </c>
      <c r="R64" s="137">
        <f>R51/R21</f>
        <v>0.25147151761727748</v>
      </c>
      <c r="S64" s="138">
        <f>S51/S21</f>
        <v>0.25004273848495923</v>
      </c>
    </row>
    <row r="65" spans="2:19" s="15" customFormat="1" x14ac:dyDescent="0.25">
      <c r="B65" s="16"/>
      <c r="C65" s="18" t="s">
        <v>159</v>
      </c>
      <c r="D65" s="139">
        <v>0.25</v>
      </c>
      <c r="E65" s="139">
        <v>0.25</v>
      </c>
      <c r="F65" s="139">
        <v>0.25</v>
      </c>
      <c r="G65" s="139">
        <v>0.25</v>
      </c>
      <c r="H65" s="139">
        <v>0.25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</row>
    <row r="66" spans="2:19" s="15" customFormat="1" x14ac:dyDescent="0.25">
      <c r="B66" s="16"/>
      <c r="C66" s="18" t="s">
        <v>42</v>
      </c>
      <c r="D66" s="140">
        <v>0.4</v>
      </c>
      <c r="E66" s="140">
        <v>0.4</v>
      </c>
      <c r="F66" s="140">
        <v>0.4</v>
      </c>
      <c r="G66" s="140">
        <v>0.4</v>
      </c>
      <c r="H66" s="140">
        <v>0.4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</row>
    <row r="67" spans="2:19" s="15" customFormat="1" x14ac:dyDescent="0.25">
      <c r="B67" s="16"/>
      <c r="C67" s="18" t="s">
        <v>158</v>
      </c>
      <c r="D67" s="39">
        <f>(D65*(D56*D57))</f>
        <v>82125</v>
      </c>
      <c r="E67" s="39">
        <f>(E65*(E56*E57))</f>
        <v>89425</v>
      </c>
      <c r="F67" s="39">
        <f>(F65*(F56*F57))</f>
        <v>91250</v>
      </c>
      <c r="G67" s="39">
        <f>(G65*(G56*G57))</f>
        <v>100375</v>
      </c>
      <c r="H67" s="39">
        <f>(H65*(H56*H57))</f>
        <v>109500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</row>
    <row r="68" spans="2:19" s="15" customFormat="1" x14ac:dyDescent="0.25">
      <c r="B68" s="16"/>
      <c r="C68" s="18" t="s">
        <v>44</v>
      </c>
      <c r="D68" s="39">
        <f>D66*(D58*D59*D60)</f>
        <v>40000</v>
      </c>
      <c r="E68" s="39">
        <f t="shared" ref="E68:H68" si="40">E66*(E58*E59*E60)</f>
        <v>110000</v>
      </c>
      <c r="F68" s="39">
        <f t="shared" si="40"/>
        <v>145200</v>
      </c>
      <c r="G68" s="39">
        <f t="shared" si="40"/>
        <v>145200</v>
      </c>
      <c r="H68" s="39">
        <f t="shared" si="40"/>
        <v>145200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</row>
    <row r="69" spans="2:19" s="15" customFormat="1" x14ac:dyDescent="0.25">
      <c r="B69" s="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</row>
    <row r="70" spans="2:19" s="15" customFormat="1" x14ac:dyDescent="0.25">
      <c r="B70" s="16"/>
      <c r="C70" s="122" t="s">
        <v>120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</row>
    <row r="71" spans="2:19" s="15" customFormat="1" x14ac:dyDescent="0.25">
      <c r="B71" s="16"/>
      <c r="C71" s="18" t="s">
        <v>121</v>
      </c>
      <c r="D71" s="131">
        <v>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</row>
    <row r="72" spans="2:19" s="15" customFormat="1" x14ac:dyDescent="0.25">
      <c r="B72" s="16"/>
      <c r="C72" s="18" t="s">
        <v>39</v>
      </c>
      <c r="D72" s="131">
        <f>52*5</f>
        <v>260</v>
      </c>
      <c r="E72" s="131">
        <f t="shared" ref="E72:H72" si="41">52*5</f>
        <v>260</v>
      </c>
      <c r="F72" s="131">
        <f t="shared" si="41"/>
        <v>260</v>
      </c>
      <c r="G72" s="131">
        <f t="shared" si="41"/>
        <v>260</v>
      </c>
      <c r="H72" s="131">
        <f t="shared" si="41"/>
        <v>260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3" spans="2:19" s="15" customFormat="1" x14ac:dyDescent="0.25">
      <c r="B73" s="16"/>
      <c r="C73" s="18" t="s">
        <v>122</v>
      </c>
      <c r="D73" s="131">
        <v>8</v>
      </c>
      <c r="E73" s="131">
        <v>8</v>
      </c>
      <c r="F73" s="131">
        <v>8</v>
      </c>
      <c r="G73" s="131">
        <v>8</v>
      </c>
      <c r="H73" s="131">
        <v>8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</row>
    <row r="74" spans="2:19" s="15" customFormat="1" x14ac:dyDescent="0.25">
      <c r="B74" s="16"/>
      <c r="C74" s="18" t="s">
        <v>123</v>
      </c>
      <c r="D74" s="141">
        <f>$D$71*D72*D73</f>
        <v>6240</v>
      </c>
      <c r="E74" s="141">
        <f t="shared" ref="E74:H74" si="42">$D$71*E72*E73</f>
        <v>6240</v>
      </c>
      <c r="F74" s="141">
        <f t="shared" si="42"/>
        <v>6240</v>
      </c>
      <c r="G74" s="141">
        <f t="shared" si="42"/>
        <v>6240</v>
      </c>
      <c r="H74" s="141">
        <f t="shared" si="42"/>
        <v>6240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</row>
    <row r="75" spans="2:19" s="15" customFormat="1" x14ac:dyDescent="0.25">
      <c r="B75" s="16"/>
      <c r="C75" s="18" t="s">
        <v>124</v>
      </c>
      <c r="D75" s="142">
        <v>2000</v>
      </c>
      <c r="E75" s="142">
        <v>2500</v>
      </c>
      <c r="F75" s="142">
        <v>2600</v>
      </c>
      <c r="G75" s="142">
        <v>2700</v>
      </c>
      <c r="H75" s="142">
        <v>2800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</row>
    <row r="76" spans="2:19" s="15" customFormat="1" x14ac:dyDescent="0.25">
      <c r="B76" s="16"/>
      <c r="C76" s="18" t="s">
        <v>125</v>
      </c>
      <c r="D76" s="143">
        <f>D75/D74</f>
        <v>0.32051282051282054</v>
      </c>
      <c r="E76" s="143">
        <f t="shared" ref="E76:H76" si="43">E75/E74</f>
        <v>0.40064102564102566</v>
      </c>
      <c r="F76" s="143">
        <f t="shared" si="43"/>
        <v>0.41666666666666669</v>
      </c>
      <c r="G76" s="143">
        <f t="shared" si="43"/>
        <v>0.43269230769230771</v>
      </c>
      <c r="H76" s="143">
        <f t="shared" si="43"/>
        <v>0.44871794871794873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</row>
    <row r="77" spans="2:19" s="15" customFormat="1" x14ac:dyDescent="0.25">
      <c r="B77" s="16"/>
      <c r="C77" s="18" t="s">
        <v>126</v>
      </c>
      <c r="D77" s="144">
        <v>40</v>
      </c>
      <c r="E77" s="144">
        <v>45</v>
      </c>
      <c r="F77" s="144">
        <v>50</v>
      </c>
      <c r="G77" s="144">
        <v>51</v>
      </c>
      <c r="H77" s="144">
        <v>52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</row>
    <row r="78" spans="2:19" s="15" customFormat="1" x14ac:dyDescent="0.25">
      <c r="B78" s="16"/>
      <c r="C78" s="18" t="s">
        <v>132</v>
      </c>
      <c r="D78" s="39">
        <f>D75*D77</f>
        <v>80000</v>
      </c>
      <c r="E78" s="39">
        <f>E75*E77</f>
        <v>112500</v>
      </c>
      <c r="F78" s="39">
        <f>F75*F77</f>
        <v>130000</v>
      </c>
      <c r="G78" s="39">
        <f>G75*G77</f>
        <v>137700</v>
      </c>
      <c r="H78" s="39">
        <f>H75*H77</f>
        <v>145600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</row>
    <row r="79" spans="2:19" s="15" customFormat="1" x14ac:dyDescent="0.25">
      <c r="B79" s="16"/>
      <c r="C79" s="18" t="s">
        <v>131</v>
      </c>
      <c r="D79" s="139">
        <v>0.1</v>
      </c>
      <c r="E79" s="139">
        <v>0.15</v>
      </c>
      <c r="F79" s="139">
        <v>0.15</v>
      </c>
      <c r="G79" s="139">
        <v>0.15</v>
      </c>
      <c r="H79" s="139">
        <v>0.15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</row>
    <row r="80" spans="2:19" s="15" customFormat="1" x14ac:dyDescent="0.25">
      <c r="B80" s="16"/>
      <c r="C80" s="18" t="s">
        <v>130</v>
      </c>
      <c r="D80" s="39">
        <f>D79*D78</f>
        <v>8000</v>
      </c>
      <c r="E80" s="39">
        <f t="shared" ref="E80:H80" si="44">E79*E78</f>
        <v>16875</v>
      </c>
      <c r="F80" s="39">
        <f t="shared" si="44"/>
        <v>19500</v>
      </c>
      <c r="G80" s="39">
        <f t="shared" si="44"/>
        <v>20655</v>
      </c>
      <c r="H80" s="39">
        <f t="shared" si="44"/>
        <v>21840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</row>
    <row r="81" spans="2:19" s="15" customFormat="1" x14ac:dyDescent="0.25">
      <c r="B81" s="16"/>
      <c r="C81" s="18" t="s">
        <v>133</v>
      </c>
      <c r="D81" s="39">
        <f>D78+D80</f>
        <v>88000</v>
      </c>
      <c r="E81" s="39">
        <f t="shared" ref="E81:H81" si="45">E78+E80</f>
        <v>129375</v>
      </c>
      <c r="F81" s="39">
        <f t="shared" si="45"/>
        <v>149500</v>
      </c>
      <c r="G81" s="39">
        <f t="shared" si="45"/>
        <v>158355</v>
      </c>
      <c r="H81" s="39">
        <f t="shared" si="45"/>
        <v>167440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</row>
    <row r="82" spans="2:19" s="15" customFormat="1" x14ac:dyDescent="0.25"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</row>
    <row r="83" spans="2:19" s="15" customFormat="1" x14ac:dyDescent="0.25">
      <c r="B83" s="16"/>
      <c r="C83" s="122" t="s">
        <v>127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</row>
    <row r="84" spans="2:19" s="15" customFormat="1" x14ac:dyDescent="0.25">
      <c r="B84" s="16"/>
      <c r="C84" s="18" t="s">
        <v>128</v>
      </c>
      <c r="D84" s="131">
        <v>100</v>
      </c>
      <c r="E84" s="131">
        <v>100</v>
      </c>
      <c r="F84" s="131">
        <v>100</v>
      </c>
      <c r="G84" s="131">
        <v>100</v>
      </c>
      <c r="H84" s="131">
        <v>100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</row>
    <row r="85" spans="2:19" s="15" customFormat="1" x14ac:dyDescent="0.25">
      <c r="B85" s="16"/>
      <c r="C85" s="18" t="s">
        <v>136</v>
      </c>
      <c r="D85" s="123">
        <v>600</v>
      </c>
      <c r="E85" s="123">
        <v>600</v>
      </c>
      <c r="F85" s="123">
        <v>600</v>
      </c>
      <c r="G85" s="123">
        <v>600</v>
      </c>
      <c r="H85" s="123">
        <v>600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</row>
    <row r="86" spans="2:19" s="15" customFormat="1" x14ac:dyDescent="0.25">
      <c r="B86" s="16"/>
      <c r="C86" s="18" t="s">
        <v>135</v>
      </c>
      <c r="D86" s="39">
        <f>D84*D85</f>
        <v>60000</v>
      </c>
      <c r="E86" s="39">
        <f t="shared" ref="E86:H86" si="46">E84*E85</f>
        <v>60000</v>
      </c>
      <c r="F86" s="39">
        <f t="shared" si="46"/>
        <v>60000</v>
      </c>
      <c r="G86" s="39">
        <f t="shared" si="46"/>
        <v>60000</v>
      </c>
      <c r="H86" s="39">
        <f t="shared" si="46"/>
        <v>60000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</row>
    <row r="87" spans="2:19" s="15" customFormat="1" x14ac:dyDescent="0.25">
      <c r="B87" s="16"/>
      <c r="C87" s="18" t="s">
        <v>134</v>
      </c>
      <c r="D87" s="123">
        <f>50*150</f>
        <v>7500</v>
      </c>
      <c r="E87" s="123">
        <f t="shared" ref="E87:H87" si="47">50*150</f>
        <v>7500</v>
      </c>
      <c r="F87" s="123">
        <f t="shared" si="47"/>
        <v>7500</v>
      </c>
      <c r="G87" s="123">
        <f t="shared" si="47"/>
        <v>7500</v>
      </c>
      <c r="H87" s="123">
        <f t="shared" si="47"/>
        <v>7500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</row>
    <row r="88" spans="2:19" s="15" customFormat="1" x14ac:dyDescent="0.25">
      <c r="B88" s="16"/>
      <c r="C88" s="18" t="s">
        <v>129</v>
      </c>
      <c r="D88" s="123">
        <v>2000</v>
      </c>
      <c r="E88" s="123">
        <v>2001</v>
      </c>
      <c r="F88" s="123">
        <v>2002</v>
      </c>
      <c r="G88" s="123">
        <v>2003</v>
      </c>
      <c r="H88" s="123">
        <v>2004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</row>
    <row r="89" spans="2:19" s="15" customFormat="1" ht="15.75" thickBot="1" x14ac:dyDescent="0.3">
      <c r="B89" s="41"/>
      <c r="C89" s="66" t="s">
        <v>137</v>
      </c>
      <c r="D89" s="42">
        <f>D86+D87+D88</f>
        <v>69500</v>
      </c>
      <c r="E89" s="42">
        <f t="shared" ref="E89:H89" si="48">E86+E87+E88</f>
        <v>69501</v>
      </c>
      <c r="F89" s="42">
        <f t="shared" si="48"/>
        <v>69502</v>
      </c>
      <c r="G89" s="42">
        <f t="shared" si="48"/>
        <v>69503</v>
      </c>
      <c r="H89" s="42">
        <f t="shared" si="48"/>
        <v>69504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145"/>
    </row>
    <row r="90" spans="2:19" s="15" customFormat="1" x14ac:dyDescent="0.25"/>
    <row r="91" spans="2:19" s="15" customFormat="1" x14ac:dyDescent="0.25"/>
  </sheetData>
  <sheetProtection selectLockedCells="1"/>
  <mergeCells count="7">
    <mergeCell ref="D19:H19"/>
    <mergeCell ref="O7:S7"/>
    <mergeCell ref="B1:C1"/>
    <mergeCell ref="K7:M7"/>
    <mergeCell ref="D17:H17"/>
    <mergeCell ref="D18:H18"/>
    <mergeCell ref="B3:C3"/>
  </mergeCells>
  <pageMargins left="0.7" right="0.7" top="0.75" bottom="0.75" header="0.3" footer="0.3"/>
  <pageSetup paperSize="9" scale="7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CDE-72D3-4714-9BF1-4C2CB8CF0712}">
  <sheetPr>
    <tabColor theme="5" tint="0.59999389629810485"/>
  </sheetPr>
  <dimension ref="B1:G35"/>
  <sheetViews>
    <sheetView showGridLines="0" zoomScaleNormal="100" workbookViewId="0"/>
  </sheetViews>
  <sheetFormatPr defaultRowHeight="15" x14ac:dyDescent="0.25"/>
  <cols>
    <col min="1" max="1" width="2.85546875" style="1" customWidth="1"/>
    <col min="2" max="2" width="25.85546875" style="1" bestFit="1" customWidth="1"/>
    <col min="3" max="5" width="15.140625" style="1" customWidth="1"/>
    <col min="6" max="6" width="5.28515625" style="1" customWidth="1"/>
    <col min="7" max="8" width="12.140625" style="1" customWidth="1"/>
    <col min="9" max="16384" width="9.140625" style="1"/>
  </cols>
  <sheetData>
    <row r="1" spans="2:7" s="15" customFormat="1" ht="17.25" x14ac:dyDescent="0.3">
      <c r="B1" s="181" t="s">
        <v>111</v>
      </c>
      <c r="C1" s="181"/>
      <c r="D1" s="181"/>
    </row>
    <row r="2" spans="2:7" s="15" customFormat="1" ht="15.75" thickBot="1" x14ac:dyDescent="0.3"/>
    <row r="3" spans="2:7" s="15" customFormat="1" ht="48.75" customHeight="1" thickBot="1" x14ac:dyDescent="0.3">
      <c r="B3" s="185" t="s">
        <v>161</v>
      </c>
      <c r="C3" s="186"/>
      <c r="D3" s="171"/>
      <c r="E3" s="171"/>
      <c r="F3" s="171"/>
      <c r="G3" s="172"/>
    </row>
    <row r="4" spans="2:7" s="15" customFormat="1" x14ac:dyDescent="0.25">
      <c r="B4" s="44" t="s">
        <v>8</v>
      </c>
      <c r="C4" s="45" t="str">
        <f>'P&amp;L Projections'!C4</f>
        <v>HOTEL ABC</v>
      </c>
      <c r="D4" s="18"/>
      <c r="E4" s="18"/>
      <c r="F4" s="18"/>
      <c r="G4" s="19"/>
    </row>
    <row r="5" spans="2:7" s="15" customFormat="1" x14ac:dyDescent="0.25">
      <c r="B5" s="16" t="s">
        <v>141</v>
      </c>
      <c r="C5" s="18">
        <f>'Historic P&amp;L'!C6</f>
        <v>2017</v>
      </c>
      <c r="D5" s="18"/>
      <c r="E5" s="18"/>
      <c r="F5" s="18"/>
      <c r="G5" s="19"/>
    </row>
    <row r="6" spans="2:7" s="15" customFormat="1" x14ac:dyDescent="0.25">
      <c r="B6" s="16" t="s">
        <v>142</v>
      </c>
      <c r="C6" s="46">
        <v>44348</v>
      </c>
      <c r="D6" s="18"/>
      <c r="E6" s="18"/>
      <c r="F6" s="18"/>
      <c r="G6" s="19"/>
    </row>
    <row r="7" spans="2:7" s="15" customFormat="1" x14ac:dyDescent="0.25">
      <c r="B7" s="16"/>
      <c r="C7" s="18"/>
      <c r="D7" s="47"/>
      <c r="E7" s="18"/>
      <c r="F7" s="18"/>
      <c r="G7" s="19"/>
    </row>
    <row r="8" spans="2:7" s="15" customFormat="1" x14ac:dyDescent="0.25">
      <c r="B8" s="16" t="s">
        <v>139</v>
      </c>
      <c r="C8" s="179" t="s">
        <v>140</v>
      </c>
      <c r="D8" s="179"/>
      <c r="E8" s="179"/>
      <c r="F8" s="18"/>
      <c r="G8" s="75" t="s">
        <v>156</v>
      </c>
    </row>
    <row r="9" spans="2:7" s="15" customFormat="1" x14ac:dyDescent="0.25">
      <c r="B9" s="48" t="str">
        <f>C4</f>
        <v>HOTEL ABC</v>
      </c>
      <c r="C9" s="49">
        <f>C5</f>
        <v>2017</v>
      </c>
      <c r="D9" s="49">
        <f>C9+1</f>
        <v>2018</v>
      </c>
      <c r="E9" s="49">
        <f>D9+1</f>
        <v>2019</v>
      </c>
      <c r="F9" s="18"/>
      <c r="G9" s="50">
        <f>C6</f>
        <v>44348</v>
      </c>
    </row>
    <row r="10" spans="2:7" s="15" customFormat="1" x14ac:dyDescent="0.25">
      <c r="B10" s="51" t="s">
        <v>62</v>
      </c>
      <c r="C10" s="52"/>
      <c r="D10" s="18"/>
      <c r="E10" s="18"/>
      <c r="F10" s="18"/>
      <c r="G10" s="19"/>
    </row>
    <row r="11" spans="2:7" s="15" customFormat="1" x14ac:dyDescent="0.25">
      <c r="B11" s="53" t="s">
        <v>63</v>
      </c>
      <c r="C11" s="54">
        <v>2500000</v>
      </c>
      <c r="D11" s="54">
        <v>2600000</v>
      </c>
      <c r="E11" s="54">
        <v>2600000</v>
      </c>
      <c r="F11" s="18"/>
      <c r="G11" s="55">
        <v>3500000</v>
      </c>
    </row>
    <row r="12" spans="2:7" s="15" customFormat="1" x14ac:dyDescent="0.25">
      <c r="B12" s="53" t="s">
        <v>64</v>
      </c>
      <c r="C12" s="56">
        <v>500000</v>
      </c>
      <c r="D12" s="56">
        <v>500000</v>
      </c>
      <c r="E12" s="56">
        <v>700000</v>
      </c>
      <c r="F12" s="18"/>
      <c r="G12" s="57">
        <v>700000</v>
      </c>
    </row>
    <row r="13" spans="2:7" s="15" customFormat="1" x14ac:dyDescent="0.25">
      <c r="B13" s="58"/>
      <c r="C13" s="59">
        <f>SUM(C11:C12)</f>
        <v>3000000</v>
      </c>
      <c r="D13" s="59">
        <f>SUM(D11:D12)</f>
        <v>3100000</v>
      </c>
      <c r="E13" s="59">
        <f>SUM(E11:E12)</f>
        <v>3300000</v>
      </c>
      <c r="F13" s="18"/>
      <c r="G13" s="60">
        <f>SUM(G11:G12)</f>
        <v>4200000</v>
      </c>
    </row>
    <row r="14" spans="2:7" s="15" customFormat="1" x14ac:dyDescent="0.25">
      <c r="B14" s="51" t="s">
        <v>65</v>
      </c>
      <c r="C14" s="59"/>
      <c r="D14" s="59"/>
      <c r="E14" s="59"/>
      <c r="F14" s="18"/>
      <c r="G14" s="60"/>
    </row>
    <row r="15" spans="2:7" s="15" customFormat="1" x14ac:dyDescent="0.25">
      <c r="B15" s="53" t="s">
        <v>66</v>
      </c>
      <c r="C15" s="54">
        <v>56000</v>
      </c>
      <c r="D15" s="54">
        <v>160000</v>
      </c>
      <c r="E15" s="54">
        <v>220000</v>
      </c>
      <c r="F15" s="18"/>
      <c r="G15" s="55">
        <v>10000</v>
      </c>
    </row>
    <row r="16" spans="2:7" s="15" customFormat="1" x14ac:dyDescent="0.25">
      <c r="B16" s="53" t="s">
        <v>67</v>
      </c>
      <c r="C16" s="54">
        <v>60000</v>
      </c>
      <c r="D16" s="54">
        <v>60000</v>
      </c>
      <c r="E16" s="54">
        <v>60000</v>
      </c>
      <c r="F16" s="18"/>
      <c r="G16" s="55">
        <v>40000</v>
      </c>
    </row>
    <row r="17" spans="2:7" s="15" customFormat="1" x14ac:dyDescent="0.25">
      <c r="B17" s="53" t="s">
        <v>78</v>
      </c>
      <c r="C17" s="56">
        <v>100000</v>
      </c>
      <c r="D17" s="56">
        <v>80000</v>
      </c>
      <c r="E17" s="56">
        <v>60000</v>
      </c>
      <c r="F17" s="18"/>
      <c r="G17" s="57">
        <v>10000</v>
      </c>
    </row>
    <row r="18" spans="2:7" s="15" customFormat="1" x14ac:dyDescent="0.25">
      <c r="B18" s="58"/>
      <c r="C18" s="59">
        <f>SUM(C15:C17)</f>
        <v>216000</v>
      </c>
      <c r="D18" s="59">
        <f>SUM(D15:D17)</f>
        <v>300000</v>
      </c>
      <c r="E18" s="59">
        <f>SUM(E15:E17)</f>
        <v>340000</v>
      </c>
      <c r="F18" s="18"/>
      <c r="G18" s="60">
        <f>SUM(G15:G17)</f>
        <v>60000</v>
      </c>
    </row>
    <row r="19" spans="2:7" s="15" customFormat="1" x14ac:dyDescent="0.25">
      <c r="B19" s="61" t="s">
        <v>68</v>
      </c>
      <c r="C19" s="62">
        <f>C13+C18</f>
        <v>3216000</v>
      </c>
      <c r="D19" s="62">
        <f>D13+D18</f>
        <v>3400000</v>
      </c>
      <c r="E19" s="62">
        <f>E13+E18</f>
        <v>3640000</v>
      </c>
      <c r="F19" s="18"/>
      <c r="G19" s="63">
        <f>G13+G18</f>
        <v>4260000</v>
      </c>
    </row>
    <row r="20" spans="2:7" s="15" customFormat="1" x14ac:dyDescent="0.25">
      <c r="B20" s="58"/>
      <c r="C20" s="59"/>
      <c r="D20" s="59"/>
      <c r="E20" s="59"/>
      <c r="F20" s="18"/>
      <c r="G20" s="60"/>
    </row>
    <row r="21" spans="2:7" s="15" customFormat="1" x14ac:dyDescent="0.25">
      <c r="B21" s="51" t="s">
        <v>69</v>
      </c>
      <c r="C21" s="59"/>
      <c r="D21" s="59"/>
      <c r="E21" s="59"/>
      <c r="F21" s="18"/>
      <c r="G21" s="60"/>
    </row>
    <row r="22" spans="2:7" s="15" customFormat="1" x14ac:dyDescent="0.25">
      <c r="B22" s="53" t="s">
        <v>70</v>
      </c>
      <c r="C22" s="54">
        <v>10000</v>
      </c>
      <c r="D22" s="54">
        <v>15000</v>
      </c>
      <c r="E22" s="54">
        <v>8000</v>
      </c>
      <c r="F22" s="18"/>
      <c r="G22" s="55">
        <v>25000</v>
      </c>
    </row>
    <row r="23" spans="2:7" s="15" customFormat="1" x14ac:dyDescent="0.25">
      <c r="B23" s="53" t="s">
        <v>79</v>
      </c>
      <c r="C23" s="54">
        <v>45000</v>
      </c>
      <c r="D23" s="54">
        <v>50000</v>
      </c>
      <c r="E23" s="54">
        <v>40000</v>
      </c>
      <c r="F23" s="18"/>
      <c r="G23" s="55">
        <v>90000</v>
      </c>
    </row>
    <row r="24" spans="2:7" s="15" customFormat="1" x14ac:dyDescent="0.25">
      <c r="B24" s="53" t="s">
        <v>71</v>
      </c>
      <c r="C24" s="54">
        <v>15000</v>
      </c>
      <c r="D24" s="54">
        <v>16000</v>
      </c>
      <c r="E24" s="54">
        <v>16000</v>
      </c>
      <c r="F24" s="18"/>
      <c r="G24" s="55">
        <v>80000</v>
      </c>
    </row>
    <row r="25" spans="2:7" s="15" customFormat="1" x14ac:dyDescent="0.25">
      <c r="B25" s="53" t="s">
        <v>72</v>
      </c>
      <c r="C25" s="56"/>
      <c r="D25" s="56"/>
      <c r="E25" s="56"/>
      <c r="F25" s="18"/>
      <c r="G25" s="57">
        <v>100000</v>
      </c>
    </row>
    <row r="26" spans="2:7" s="15" customFormat="1" x14ac:dyDescent="0.25">
      <c r="B26" s="58"/>
      <c r="C26" s="59">
        <f>SUM(C22:C25)</f>
        <v>70000</v>
      </c>
      <c r="D26" s="59">
        <f>SUM(D22:D25)</f>
        <v>81000</v>
      </c>
      <c r="E26" s="59">
        <f>SUM(E22:E25)</f>
        <v>64000</v>
      </c>
      <c r="F26" s="18"/>
      <c r="G26" s="60">
        <f>SUM(G22:G25)</f>
        <v>295000</v>
      </c>
    </row>
    <row r="27" spans="2:7" s="15" customFormat="1" x14ac:dyDescent="0.25">
      <c r="B27" s="51" t="s">
        <v>73</v>
      </c>
      <c r="C27" s="59"/>
      <c r="D27" s="59"/>
      <c r="E27" s="59"/>
      <c r="F27" s="18"/>
      <c r="G27" s="60"/>
    </row>
    <row r="28" spans="2:7" s="15" customFormat="1" x14ac:dyDescent="0.25">
      <c r="B28" s="53" t="s">
        <v>74</v>
      </c>
      <c r="C28" s="54">
        <v>500000</v>
      </c>
      <c r="D28" s="54">
        <v>480000</v>
      </c>
      <c r="E28" s="54">
        <v>460000</v>
      </c>
      <c r="F28" s="18"/>
      <c r="G28" s="55">
        <v>1000000</v>
      </c>
    </row>
    <row r="29" spans="2:7" s="15" customFormat="1" x14ac:dyDescent="0.25">
      <c r="B29" s="53" t="s">
        <v>75</v>
      </c>
      <c r="C29" s="56"/>
      <c r="D29" s="56"/>
      <c r="E29" s="56"/>
      <c r="F29" s="18"/>
      <c r="G29" s="57">
        <v>200000</v>
      </c>
    </row>
    <row r="30" spans="2:7" s="15" customFormat="1" x14ac:dyDescent="0.25">
      <c r="B30" s="58"/>
      <c r="C30" s="59">
        <f>SUM(C28:C29)</f>
        <v>500000</v>
      </c>
      <c r="D30" s="59">
        <f>SUM(D28:D29)</f>
        <v>480000</v>
      </c>
      <c r="E30" s="59">
        <f>SUM(E28:E29)</f>
        <v>460000</v>
      </c>
      <c r="F30" s="18"/>
      <c r="G30" s="60">
        <f>SUM(G28:G29)</f>
        <v>1200000</v>
      </c>
    </row>
    <row r="31" spans="2:7" s="15" customFormat="1" x14ac:dyDescent="0.25">
      <c r="B31" s="61" t="s">
        <v>76</v>
      </c>
      <c r="C31" s="62">
        <f>C26+C30</f>
        <v>570000</v>
      </c>
      <c r="D31" s="62">
        <f>D26+D30</f>
        <v>561000</v>
      </c>
      <c r="E31" s="62">
        <f>E26+E30</f>
        <v>524000</v>
      </c>
      <c r="F31" s="18"/>
      <c r="G31" s="63">
        <f>G26+G30</f>
        <v>1495000</v>
      </c>
    </row>
    <row r="32" spans="2:7" s="15" customFormat="1" x14ac:dyDescent="0.25">
      <c r="B32" s="16"/>
      <c r="C32" s="18"/>
      <c r="D32" s="18"/>
      <c r="E32" s="18"/>
      <c r="F32" s="18"/>
      <c r="G32" s="19"/>
    </row>
    <row r="33" spans="2:7" s="15" customFormat="1" ht="15.75" thickBot="1" x14ac:dyDescent="0.3">
      <c r="B33" s="64" t="s">
        <v>77</v>
      </c>
      <c r="C33" s="65">
        <f>C19-C31</f>
        <v>2646000</v>
      </c>
      <c r="D33" s="65">
        <f>D19-D31</f>
        <v>2839000</v>
      </c>
      <c r="E33" s="65">
        <f>E19-E31</f>
        <v>3116000</v>
      </c>
      <c r="F33" s="66"/>
      <c r="G33" s="67">
        <f>G19-G31</f>
        <v>2765000</v>
      </c>
    </row>
    <row r="34" spans="2:7" s="15" customFormat="1" x14ac:dyDescent="0.25"/>
    <row r="35" spans="2:7" s="15" customFormat="1" x14ac:dyDescent="0.25"/>
  </sheetData>
  <sheetProtection selectLockedCells="1"/>
  <mergeCells count="3">
    <mergeCell ref="B1:D1"/>
    <mergeCell ref="C8:E8"/>
    <mergeCell ref="B3:C3"/>
  </mergeCells>
  <pageMargins left="0.7" right="0.7" top="0.75" bottom="0.75" header="0.3" footer="0.3"/>
  <pageSetup paperSize="9" scale="9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31A3-D643-4389-829C-31F0D786CB8A}">
  <sheetPr>
    <tabColor theme="5" tint="0.59999389629810485"/>
  </sheetPr>
  <dimension ref="A1:Q29"/>
  <sheetViews>
    <sheetView showGridLines="0" zoomScaleNormal="100" workbookViewId="0"/>
  </sheetViews>
  <sheetFormatPr defaultRowHeight="15" x14ac:dyDescent="0.25"/>
  <cols>
    <col min="1" max="1" width="5.28515625" style="1" customWidth="1"/>
    <col min="2" max="2" width="59.140625" style="1" bestFit="1" customWidth="1"/>
    <col min="3" max="3" width="10.5703125" style="1" bestFit="1" customWidth="1"/>
    <col min="4" max="6" width="10.140625" style="1" bestFit="1" customWidth="1"/>
    <col min="7" max="7" width="10.85546875" style="1" bestFit="1" customWidth="1"/>
    <col min="8" max="10" width="9.140625" style="1"/>
    <col min="11" max="11" width="9.140625" style="1" bestFit="1" customWidth="1"/>
    <col min="12" max="16384" width="9.140625" style="1"/>
  </cols>
  <sheetData>
    <row r="1" spans="2:17" s="15" customFormat="1" ht="17.25" x14ac:dyDescent="0.3">
      <c r="B1" s="12" t="s">
        <v>111</v>
      </c>
      <c r="C1" s="13"/>
      <c r="D1" s="13"/>
      <c r="E1" s="14"/>
    </row>
    <row r="2" spans="2:17" s="15" customFormat="1" ht="15.75" thickBot="1" x14ac:dyDescent="0.3"/>
    <row r="3" spans="2:17" s="15" customFormat="1" ht="48.75" customHeight="1" x14ac:dyDescent="0.25">
      <c r="B3" s="173" t="s">
        <v>160</v>
      </c>
      <c r="C3" s="171"/>
      <c r="D3" s="171"/>
      <c r="E3" s="171"/>
      <c r="F3" s="171"/>
      <c r="G3" s="172"/>
    </row>
    <row r="4" spans="2:17" s="15" customFormat="1" ht="17.25" customHeight="1" x14ac:dyDescent="0.25">
      <c r="B4" s="16" t="s">
        <v>8</v>
      </c>
      <c r="C4" s="17" t="str">
        <f>'P&amp;L Projections'!C4</f>
        <v>HOTEL ABC</v>
      </c>
      <c r="D4" s="18"/>
      <c r="E4" s="18"/>
      <c r="F4" s="18"/>
      <c r="G4" s="19"/>
    </row>
    <row r="5" spans="2:17" s="15" customFormat="1" ht="17.25" customHeight="1" thickBot="1" x14ac:dyDescent="0.3">
      <c r="B5" s="16" t="s">
        <v>144</v>
      </c>
      <c r="C5" s="18">
        <f>'P&amp;L Projections'!C6</f>
        <v>2021</v>
      </c>
      <c r="D5" s="18"/>
      <c r="E5" s="18"/>
      <c r="F5" s="18"/>
      <c r="G5" s="19"/>
    </row>
    <row r="6" spans="2:17" s="15" customFormat="1" x14ac:dyDescent="0.25">
      <c r="B6" s="20" t="s">
        <v>143</v>
      </c>
      <c r="C6" s="21"/>
      <c r="D6" s="22"/>
      <c r="E6" s="22"/>
      <c r="F6" s="22"/>
      <c r="G6" s="23"/>
    </row>
    <row r="7" spans="2:17" s="15" customFormat="1" x14ac:dyDescent="0.25">
      <c r="B7" s="24" t="str">
        <f>C4</f>
        <v>HOTEL ABC</v>
      </c>
      <c r="C7" s="25">
        <f>C5</f>
        <v>2021</v>
      </c>
      <c r="D7" s="25">
        <f>C7+1</f>
        <v>2022</v>
      </c>
      <c r="E7" s="25">
        <f t="shared" ref="E7:G7" si="0">D7+1</f>
        <v>2023</v>
      </c>
      <c r="F7" s="25">
        <f t="shared" si="0"/>
        <v>2024</v>
      </c>
      <c r="G7" s="26">
        <f t="shared" si="0"/>
        <v>2025</v>
      </c>
    </row>
    <row r="8" spans="2:17" s="15" customFormat="1" x14ac:dyDescent="0.25">
      <c r="B8" s="27" t="s">
        <v>147</v>
      </c>
      <c r="C8" s="28"/>
      <c r="D8" s="18"/>
      <c r="E8" s="18"/>
      <c r="F8" s="18"/>
      <c r="G8" s="19"/>
    </row>
    <row r="9" spans="2:17" s="15" customFormat="1" x14ac:dyDescent="0.25">
      <c r="B9" s="16" t="s">
        <v>6</v>
      </c>
      <c r="C9" s="28">
        <f>'P&amp;L Projections'!O51</f>
        <v>793540.125</v>
      </c>
      <c r="D9" s="28">
        <f>'P&amp;L Projections'!P51</f>
        <v>767514.49499999976</v>
      </c>
      <c r="E9" s="28">
        <f>'P&amp;L Projections'!Q51</f>
        <v>906525.09749999968</v>
      </c>
      <c r="F9" s="28">
        <f>'P&amp;L Projections'!R51</f>
        <v>1000506.7175</v>
      </c>
      <c r="G9" s="29">
        <f>'P&amp;L Projections'!S51</f>
        <v>1023166.8095000002</v>
      </c>
      <c r="J9" s="30"/>
      <c r="K9" s="30"/>
      <c r="L9" s="30"/>
      <c r="M9" s="30"/>
      <c r="N9" s="30"/>
      <c r="O9" s="30"/>
      <c r="P9" s="30"/>
      <c r="Q9" s="31"/>
    </row>
    <row r="10" spans="2:17" s="15" customFormat="1" x14ac:dyDescent="0.25">
      <c r="B10" s="16" t="s">
        <v>81</v>
      </c>
      <c r="C10" s="32">
        <v>25000</v>
      </c>
      <c r="D10" s="32"/>
      <c r="E10" s="32"/>
      <c r="F10" s="32"/>
      <c r="G10" s="33"/>
    </row>
    <row r="11" spans="2:17" s="15" customFormat="1" x14ac:dyDescent="0.25">
      <c r="B11" s="16" t="s">
        <v>82</v>
      </c>
      <c r="C11" s="32"/>
      <c r="D11" s="32"/>
      <c r="E11" s="32"/>
      <c r="F11" s="32"/>
      <c r="G11" s="33"/>
    </row>
    <row r="12" spans="2:17" s="15" customFormat="1" x14ac:dyDescent="0.25">
      <c r="B12" s="16" t="s">
        <v>84</v>
      </c>
      <c r="C12" s="32"/>
      <c r="D12" s="32"/>
      <c r="E12" s="32"/>
      <c r="F12" s="32"/>
      <c r="G12" s="33"/>
    </row>
    <row r="13" spans="2:17" s="15" customFormat="1" x14ac:dyDescent="0.25">
      <c r="B13" s="16"/>
      <c r="C13" s="28"/>
      <c r="D13" s="18"/>
      <c r="E13" s="18"/>
      <c r="F13" s="18"/>
      <c r="G13" s="19"/>
    </row>
    <row r="14" spans="2:17" s="15" customFormat="1" x14ac:dyDescent="0.25">
      <c r="B14" s="27" t="s">
        <v>146</v>
      </c>
      <c r="C14" s="28"/>
      <c r="D14" s="18"/>
      <c r="E14" s="18"/>
      <c r="F14" s="18"/>
      <c r="G14" s="19"/>
    </row>
    <row r="15" spans="2:17" s="15" customFormat="1" x14ac:dyDescent="0.25">
      <c r="B15" s="16" t="s">
        <v>80</v>
      </c>
      <c r="C15" s="34">
        <v>40000</v>
      </c>
      <c r="D15" s="34">
        <v>150000</v>
      </c>
      <c r="E15" s="34">
        <v>150000</v>
      </c>
      <c r="F15" s="34">
        <v>150000</v>
      </c>
      <c r="G15" s="35">
        <v>150000</v>
      </c>
    </row>
    <row r="16" spans="2:17" s="15" customFormat="1" x14ac:dyDescent="0.25">
      <c r="B16" s="16" t="s">
        <v>107</v>
      </c>
      <c r="C16" s="34">
        <v>100000</v>
      </c>
      <c r="D16" s="34">
        <v>100000</v>
      </c>
      <c r="E16" s="34">
        <v>110000</v>
      </c>
      <c r="F16" s="34">
        <v>120000</v>
      </c>
      <c r="G16" s="35">
        <v>125000</v>
      </c>
    </row>
    <row r="17" spans="1:7" s="15" customFormat="1" x14ac:dyDescent="0.25">
      <c r="B17" s="16" t="s">
        <v>106</v>
      </c>
      <c r="C17" s="34"/>
      <c r="D17" s="34"/>
      <c r="E17" s="34">
        <v>100000</v>
      </c>
      <c r="F17" s="34">
        <v>100000</v>
      </c>
      <c r="G17" s="35">
        <v>100000</v>
      </c>
    </row>
    <row r="18" spans="1:7" s="15" customFormat="1" x14ac:dyDescent="0.25">
      <c r="B18" s="16" t="s">
        <v>83</v>
      </c>
      <c r="C18" s="34">
        <v>50000</v>
      </c>
      <c r="D18" s="34">
        <v>100000</v>
      </c>
      <c r="E18" s="34">
        <v>120000</v>
      </c>
      <c r="F18" s="34">
        <v>120000</v>
      </c>
      <c r="G18" s="35">
        <v>120000</v>
      </c>
    </row>
    <row r="19" spans="1:7" s="36" customFormat="1" x14ac:dyDescent="0.25">
      <c r="A19" s="36" t="s">
        <v>108</v>
      </c>
      <c r="B19" s="27" t="s">
        <v>85</v>
      </c>
      <c r="C19" s="37">
        <f>SUM(C9:C12)-SUM(C15:C18)</f>
        <v>628540.125</v>
      </c>
      <c r="D19" s="37">
        <f>SUM(D9:D12)-SUM(D15:D18)</f>
        <v>417514.49499999976</v>
      </c>
      <c r="E19" s="37">
        <f>SUM(E9:E12)-SUM(E15:E18)</f>
        <v>426525.09749999968</v>
      </c>
      <c r="F19" s="37">
        <f>SUM(F9:F12)-SUM(F15:F18)</f>
        <v>510506.71750000003</v>
      </c>
      <c r="G19" s="38">
        <f>SUM(G9:G12)-SUM(G15:G18)</f>
        <v>528166.80950000021</v>
      </c>
    </row>
    <row r="20" spans="1:7" s="15" customFormat="1" x14ac:dyDescent="0.25">
      <c r="B20" s="16"/>
      <c r="C20" s="18"/>
      <c r="D20" s="18"/>
      <c r="E20" s="18"/>
      <c r="F20" s="18"/>
      <c r="G20" s="19"/>
    </row>
    <row r="21" spans="1:7" s="15" customFormat="1" x14ac:dyDescent="0.25">
      <c r="B21" s="16" t="s">
        <v>103</v>
      </c>
      <c r="C21" s="32">
        <v>15000</v>
      </c>
      <c r="D21" s="39">
        <f>C22</f>
        <v>643540.125</v>
      </c>
      <c r="E21" s="39">
        <f t="shared" ref="E21:G21" si="1">D22</f>
        <v>1061054.6199999996</v>
      </c>
      <c r="F21" s="39">
        <f t="shared" si="1"/>
        <v>1487579.7174999993</v>
      </c>
      <c r="G21" s="40">
        <f t="shared" si="1"/>
        <v>1998086.4349999994</v>
      </c>
    </row>
    <row r="22" spans="1:7" s="15" customFormat="1" ht="15.75" thickBot="1" x14ac:dyDescent="0.3">
      <c r="B22" s="41" t="s">
        <v>86</v>
      </c>
      <c r="C22" s="42">
        <f>C21+C19</f>
        <v>643540.125</v>
      </c>
      <c r="D22" s="42">
        <f>D21+D19</f>
        <v>1061054.6199999996</v>
      </c>
      <c r="E22" s="42">
        <f t="shared" ref="E22:G22" si="2">E21+E19</f>
        <v>1487579.7174999993</v>
      </c>
      <c r="F22" s="42">
        <f t="shared" si="2"/>
        <v>1998086.4349999994</v>
      </c>
      <c r="G22" s="43">
        <f t="shared" si="2"/>
        <v>2526253.2444999996</v>
      </c>
    </row>
    <row r="23" spans="1:7" s="15" customFormat="1" x14ac:dyDescent="0.25"/>
    <row r="24" spans="1:7" s="15" customFormat="1" x14ac:dyDescent="0.25"/>
    <row r="25" spans="1:7" s="15" customFormat="1" x14ac:dyDescent="0.25">
      <c r="B25" s="15" t="s">
        <v>109</v>
      </c>
    </row>
    <row r="26" spans="1:7" s="15" customFormat="1" x14ac:dyDescent="0.25"/>
    <row r="27" spans="1:7" s="15" customFormat="1" x14ac:dyDescent="0.25"/>
    <row r="28" spans="1:7" x14ac:dyDescent="0.25">
      <c r="C28" s="2"/>
    </row>
    <row r="29" spans="1:7" x14ac:dyDescent="0.25">
      <c r="C29" s="3"/>
    </row>
  </sheetData>
  <sheetProtection selectLockedCells="1"/>
  <pageMargins left="0.25" right="0.25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3780D-8BFE-4E42-80DA-C48016CE9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ae456-88b9-4ffb-bdb7-b103bac82d3a"/>
    <ds:schemaRef ds:uri="4578801f-0822-4fc8-ab90-e8bb196ae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85137-3D16-438F-B5BE-161E917B557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8801f-0822-4fc8-ab90-e8bb196aef62"/>
    <ds:schemaRef ds:uri="http://purl.org/dc/elements/1.1/"/>
    <ds:schemaRef ds:uri="http://schemas.microsoft.com/office/2006/metadata/properties"/>
    <ds:schemaRef ds:uri="http://schemas.microsoft.com/office/2006/documentManagement/types"/>
    <ds:schemaRef ds:uri="45dae456-88b9-4ffb-bdb7-b103bac82d3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F806CA-FCBE-47CA-A733-FAEDB3CAE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Historic P&amp;L</vt:lpstr>
      <vt:lpstr>P&amp;L Projections</vt:lpstr>
      <vt:lpstr>Balance Sheet</vt:lpstr>
      <vt:lpstr>Cashflow Analysis</vt:lpstr>
      <vt:lpstr>'Balance Sheet'!Print_Area</vt:lpstr>
      <vt:lpstr>'Cashflow Analysis'!Print_Area</vt:lpstr>
      <vt:lpstr>'Historic P&amp;L'!Print_Area</vt:lpstr>
      <vt:lpstr>Instructions!Print_Area</vt:lpstr>
      <vt:lpstr>'P&amp;L Projections'!Print_Area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Mairea Doyle-Balfe</dc:creator>
  <cp:lastModifiedBy>Sharon Brennan</cp:lastModifiedBy>
  <cp:lastPrinted>2021-06-27T11:04:06Z</cp:lastPrinted>
  <dcterms:created xsi:type="dcterms:W3CDTF">2021-04-15T10:13:55Z</dcterms:created>
  <dcterms:modified xsi:type="dcterms:W3CDTF">2021-09-06T15:23:13Z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42835700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